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0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'молоко'!$A$1:$K$16</definedName>
    <definedName name="_xlnm.Print_Area" localSheetId="9">'мясо'!$A$1:$K$19</definedName>
    <definedName name="_xlnm.Print_Area" localSheetId="7">'на 100 га'!$A$1:$F$16</definedName>
    <definedName name="_xlnm.Print_Area" localSheetId="0">'пало1'!$A$1:$T$18</definedName>
    <definedName name="_xlnm.Print_Area" localSheetId="1">'привес'!$A$1:$T$19</definedName>
    <definedName name="_xlnm.Print_Area" localSheetId="4">'приплод 2'!$A$1:$P$10</definedName>
    <definedName name="_xlnm.Print_Area" localSheetId="3">'численность 1'!$A$1:$U$19</definedName>
    <definedName name="_xlnm.Print_Area" localSheetId="2">'численность 2'!$A$1:$N$19</definedName>
  </definedNames>
  <calcPr fullCalcOnLoad="1"/>
</workbook>
</file>

<file path=xl/sharedStrings.xml><?xml version="1.0" encoding="utf-8"?>
<sst xmlns="http://schemas.openxmlformats.org/spreadsheetml/2006/main" count="271" uniqueCount="113">
  <si>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</si>
  <si>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</si>
  <si>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</si>
  <si>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</si>
  <si>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</si>
  <si>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</si>
  <si>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</si>
  <si>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</si>
  <si>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</si>
  <si>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</si>
  <si>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</si>
  <si>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</si>
  <si>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</si>
  <si>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</si>
  <si>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</si>
  <si>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</si>
  <si>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</si>
  <si>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</si>
  <si>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</si>
  <si>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</si>
  <si>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</si>
  <si>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</si>
  <si>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</si>
  <si>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</si>
  <si>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</si>
  <si>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</si>
  <si>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</si>
  <si>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</si>
  <si>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</si>
  <si>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</si>
  <si>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</si>
  <si>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</si>
  <si>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</si>
  <si>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</si>
  <si>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</si>
  <si>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</si>
  <si>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</si>
  <si>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</si>
  <si>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</si>
  <si>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</si>
  <si>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</si>
  <si>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</si>
  <si>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</si>
  <si>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</si>
  <si>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</si>
  <si>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</si>
  <si>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</si>
  <si>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</si>
  <si>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</si>
  <si>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</si>
  <si>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</si>
  <si>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</si>
  <si>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</si>
  <si>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</si>
  <si>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</si>
  <si>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</si>
  <si>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</si>
  <si>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</si>
  <si>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</si>
  <si>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</si>
  <si>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</si>
  <si>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</si>
  <si>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</si>
  <si>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</si>
  <si>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</si>
  <si>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</si>
  <si>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</si>
  <si>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</si>
  <si>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</si>
  <si>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</si>
  <si>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</si>
  <si>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</si>
  <si>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</si>
  <si>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</si>
  <si>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</si>
  <si>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</si>
  <si>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</si>
  <si>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</si>
  <si>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</si>
  <si>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</si>
  <si>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</si>
  <si>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</si>
  <si>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</si>
  <si>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</si>
  <si>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</si>
  <si>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</si>
  <si>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</si>
  <si>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</si>
  <si>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</si>
  <si>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>лошади</t>
  </si>
  <si>
    <t>овцы и козы</t>
  </si>
  <si>
    <t>КФХ Ярчеев П.И.</t>
  </si>
  <si>
    <t>КРС</t>
  </si>
  <si>
    <t>свиней</t>
  </si>
  <si>
    <t xml:space="preserve">            Производство молока за  январь 2011 г. по Ибресинскому району</t>
  </si>
  <si>
    <t>2011 в %</t>
  </si>
  <si>
    <t>к 2010 г.</t>
  </si>
  <si>
    <t>по Ибресинскому району за январь 2011 года (ц)</t>
  </si>
  <si>
    <t>Поступление приплода (телят) за январь 2011 г.</t>
  </si>
  <si>
    <t>2010 г.</t>
  </si>
  <si>
    <t>с 2010 г.</t>
  </si>
  <si>
    <t>СЛУЧЕНО И ОСЕМЕНЕНО за январь 2011 г.по Ибресинскому р-ну</t>
  </si>
  <si>
    <t>Поступление приплода (поросят) за январь 2011 г.</t>
  </si>
  <si>
    <t>разница с 2010 г.</t>
  </si>
  <si>
    <t xml:space="preserve">      ЧИСЛЕННОСТЬ СКОТА по Ибресинскому району на 1.02.2011 г., (голов)</t>
  </si>
  <si>
    <t>в % к 2010 г.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</si>
  <si>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1.02.2011 г., (голов)</t>
    </r>
  </si>
  <si>
    <t>Показатели получения привесов за январь 2011 года</t>
  </si>
  <si>
    <t>2011 к 2010 г. %</t>
  </si>
  <si>
    <t>ПАЛО И ПОГИБЛО - КУПЛЕНО- ПРОДАНО крс, свиней за январь 2011г.по Ибресинскому.р-ну</t>
  </si>
  <si>
    <t xml:space="preserve">КРС </t>
  </si>
  <si>
    <t xml:space="preserve">   Производство мяса за январь 2011г.</t>
  </si>
  <si>
    <t xml:space="preserve">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</si>
</sst>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4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17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172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172" fontId="2" fillId="0" borderId="1" xfId="0" applyNumberFormat="1" applyFont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view="pageBreakPreview" zoomScale="75" zoomScaleSheetLayoutView="75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1" sqref="B11"/>
    </sheetView>
  </sheetViews>
  <sheetFormatPr defaultColWidth="9.00390625" defaultRowHeight="12.75"/>
  <cols>
    <col min="1" max="1" width="4.00390625" style="73" customWidth="1"/>
    <col min="2" max="2" width="28.625" style="73" customWidth="1"/>
    <col min="3" max="4" width="8.75390625" style="73" customWidth="1"/>
    <col min="5" max="5" width="8.875" style="73" customWidth="1"/>
    <col min="6" max="7" width="8.75390625" style="73" customWidth="1"/>
    <col min="8" max="8" width="8.875" style="73" customWidth="1"/>
    <col min="9" max="14" width="8.75390625" style="73" customWidth="1"/>
    <col min="15" max="15" width="8.875" style="73" customWidth="1"/>
    <col min="16" max="18" width="8.75390625" style="73" customWidth="1"/>
    <col min="19" max="19" width="8.875" style="73" customWidth="1"/>
    <col min="20" max="20" width="8.75390625" style="73" customWidth="1"/>
    <col min="21" max="16384" width="9.125" style="73" customWidth="1"/>
  </cols>
  <sheetData>
    <row r="1" spans="3:18" ht="15">
      <c r="C1" s="137" t="s">
        <v>109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3:10" ht="15">
      <c r="C2" s="74"/>
      <c r="D2" s="74"/>
      <c r="E2" s="74"/>
      <c r="F2" s="74"/>
      <c r="G2" s="74"/>
      <c r="H2" s="74"/>
      <c r="I2" s="74"/>
      <c r="J2" s="74"/>
    </row>
    <row r="3" spans="1:20" s="20" customFormat="1" ht="18.75" customHeight="1">
      <c r="A3" s="34" t="s">
        <v>2</v>
      </c>
      <c r="B3" s="23" t="s">
        <v>3</v>
      </c>
      <c r="C3" s="134" t="s">
        <v>41</v>
      </c>
      <c r="D3" s="135"/>
      <c r="E3" s="136"/>
      <c r="F3" s="134" t="s">
        <v>55</v>
      </c>
      <c r="G3" s="135"/>
      <c r="H3" s="136"/>
      <c r="I3" s="97"/>
      <c r="J3" s="102" t="s">
        <v>43</v>
      </c>
      <c r="K3" s="102"/>
      <c r="L3" s="102"/>
      <c r="M3" s="104"/>
      <c r="N3" s="104"/>
      <c r="O3" s="104"/>
      <c r="P3" s="104"/>
      <c r="Q3" s="97"/>
      <c r="R3" s="102" t="s">
        <v>44</v>
      </c>
      <c r="S3" s="102"/>
      <c r="T3" s="101"/>
    </row>
    <row r="4" spans="1:20" s="20" customFormat="1" ht="18.75" customHeight="1">
      <c r="A4" s="39"/>
      <c r="B4" s="33"/>
      <c r="C4" s="138">
        <v>2010</v>
      </c>
      <c r="D4" s="138">
        <v>2011</v>
      </c>
      <c r="E4" s="106" t="s">
        <v>42</v>
      </c>
      <c r="F4" s="138">
        <v>2010</v>
      </c>
      <c r="G4" s="138">
        <v>2011</v>
      </c>
      <c r="H4" s="106" t="s">
        <v>42</v>
      </c>
      <c r="I4" s="140" t="s">
        <v>110</v>
      </c>
      <c r="J4" s="141"/>
      <c r="K4" s="140" t="s">
        <v>93</v>
      </c>
      <c r="L4" s="141"/>
      <c r="M4" s="140" t="s">
        <v>89</v>
      </c>
      <c r="N4" s="141"/>
      <c r="O4" s="140" t="s">
        <v>90</v>
      </c>
      <c r="P4" s="141"/>
      <c r="Q4" s="140" t="s">
        <v>92</v>
      </c>
      <c r="R4" s="141"/>
      <c r="S4" s="140" t="s">
        <v>93</v>
      </c>
      <c r="T4" s="141"/>
    </row>
    <row r="5" spans="1:20" s="20" customFormat="1" ht="18.75" customHeight="1">
      <c r="A5" s="30"/>
      <c r="B5" s="29"/>
      <c r="C5" s="139"/>
      <c r="D5" s="139"/>
      <c r="E5" s="107" t="s">
        <v>100</v>
      </c>
      <c r="F5" s="139"/>
      <c r="G5" s="139"/>
      <c r="H5" s="107" t="s">
        <v>100</v>
      </c>
      <c r="I5" s="108">
        <v>2010</v>
      </c>
      <c r="J5" s="109">
        <v>2011</v>
      </c>
      <c r="K5" s="108">
        <v>2010</v>
      </c>
      <c r="L5" s="109">
        <v>2011</v>
      </c>
      <c r="M5" s="108">
        <v>2010</v>
      </c>
      <c r="N5" s="109">
        <v>2011</v>
      </c>
      <c r="O5" s="108">
        <v>2010</v>
      </c>
      <c r="P5" s="109">
        <v>2011</v>
      </c>
      <c r="Q5" s="108">
        <v>2010</v>
      </c>
      <c r="R5" s="109">
        <v>2011</v>
      </c>
      <c r="S5" s="108">
        <v>2010</v>
      </c>
      <c r="T5" s="109">
        <v>2011</v>
      </c>
    </row>
    <row r="6" spans="1:20" s="20" customFormat="1" ht="15" customHeight="1">
      <c r="A6" s="31">
        <v>1</v>
      </c>
      <c r="B6" s="31" t="s">
        <v>61</v>
      </c>
      <c r="C6" s="120"/>
      <c r="D6" s="120"/>
      <c r="E6" s="121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20" customFormat="1" ht="13.5" customHeight="1">
      <c r="A7" s="31">
        <v>2</v>
      </c>
      <c r="B7" s="31" t="s">
        <v>62</v>
      </c>
      <c r="C7" s="120">
        <v>1</v>
      </c>
      <c r="D7" s="120">
        <v>1</v>
      </c>
      <c r="E7" s="121">
        <f>D7-C7</f>
        <v>0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>
        <v>2</v>
      </c>
      <c r="R7" s="120"/>
      <c r="S7" s="120"/>
      <c r="T7" s="120"/>
    </row>
    <row r="8" spans="1:20" s="20" customFormat="1" ht="13.5" customHeight="1">
      <c r="A8" s="31">
        <v>3</v>
      </c>
      <c r="B8" s="31" t="s">
        <v>63</v>
      </c>
      <c r="C8" s="120"/>
      <c r="D8" s="120"/>
      <c r="E8" s="121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>
        <v>1</v>
      </c>
      <c r="R8" s="120">
        <v>6</v>
      </c>
      <c r="S8" s="120"/>
      <c r="T8" s="120"/>
    </row>
    <row r="9" spans="1:20" s="20" customFormat="1" ht="12.75" customHeight="1">
      <c r="A9" s="31">
        <v>4</v>
      </c>
      <c r="B9" s="22" t="s">
        <v>64</v>
      </c>
      <c r="C9" s="120"/>
      <c r="D9" s="120">
        <v>1</v>
      </c>
      <c r="E9" s="121">
        <f>D9-C9</f>
        <v>1</v>
      </c>
      <c r="F9" s="120"/>
      <c r="G9" s="120"/>
      <c r="H9" s="120"/>
      <c r="I9" s="120"/>
      <c r="J9" s="120"/>
      <c r="K9" s="120"/>
      <c r="L9" s="120">
        <v>2</v>
      </c>
      <c r="M9" s="120"/>
      <c r="N9" s="120"/>
      <c r="O9" s="120"/>
      <c r="P9" s="120"/>
      <c r="Q9" s="120"/>
      <c r="R9" s="120"/>
      <c r="S9" s="120"/>
      <c r="T9" s="120"/>
    </row>
    <row r="10" spans="1:20" s="20" customFormat="1" ht="13.5" customHeight="1">
      <c r="A10" s="31">
        <v>5</v>
      </c>
      <c r="B10" s="92" t="s">
        <v>65</v>
      </c>
      <c r="C10" s="120"/>
      <c r="D10" s="120"/>
      <c r="E10" s="121"/>
      <c r="F10" s="120">
        <v>39</v>
      </c>
      <c r="G10" s="120">
        <v>2</v>
      </c>
      <c r="H10" s="120">
        <f>G10-F10</f>
        <v>-37</v>
      </c>
      <c r="I10" s="121"/>
      <c r="J10" s="120"/>
      <c r="K10" s="121"/>
      <c r="L10" s="121"/>
      <c r="M10" s="121"/>
      <c r="N10" s="121"/>
      <c r="O10" s="121"/>
      <c r="P10" s="121"/>
      <c r="Q10" s="121"/>
      <c r="R10" s="121"/>
      <c r="S10" s="120">
        <v>5</v>
      </c>
      <c r="T10" s="120">
        <v>3</v>
      </c>
    </row>
    <row r="11" spans="1:20" s="20" customFormat="1" ht="12.75" customHeight="1">
      <c r="A11" s="31">
        <v>6</v>
      </c>
      <c r="B11" s="32" t="s">
        <v>81</v>
      </c>
      <c r="C11" s="120"/>
      <c r="D11" s="120"/>
      <c r="E11" s="121"/>
      <c r="F11" s="120"/>
      <c r="G11" s="120"/>
      <c r="H11" s="120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0"/>
      <c r="T11" s="120"/>
    </row>
    <row r="12" spans="1:20" s="20" customFormat="1" ht="12.75" customHeight="1">
      <c r="A12" s="31">
        <v>7</v>
      </c>
      <c r="B12" s="31" t="s">
        <v>66</v>
      </c>
      <c r="C12" s="120"/>
      <c r="D12" s="120"/>
      <c r="E12" s="121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20" s="20" customFormat="1" ht="13.5" customHeight="1">
      <c r="A13" s="31">
        <v>8</v>
      </c>
      <c r="B13" s="32" t="s">
        <v>80</v>
      </c>
      <c r="C13" s="120"/>
      <c r="D13" s="120"/>
      <c r="E13" s="121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20" s="20" customFormat="1" ht="12.75" customHeight="1">
      <c r="A14" s="31">
        <v>9</v>
      </c>
      <c r="B14" s="31" t="s">
        <v>67</v>
      </c>
      <c r="C14" s="120"/>
      <c r="D14" s="120"/>
      <c r="E14" s="121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</row>
    <row r="15" spans="1:20" s="20" customFormat="1" ht="12.75" customHeight="1">
      <c r="A15" s="31">
        <v>10</v>
      </c>
      <c r="B15" s="31" t="s">
        <v>68</v>
      </c>
      <c r="C15" s="120"/>
      <c r="D15" s="120"/>
      <c r="E15" s="121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</row>
    <row r="16" spans="1:20" s="20" customFormat="1" ht="12.75" customHeight="1">
      <c r="A16" s="31">
        <v>11</v>
      </c>
      <c r="B16" s="31" t="s">
        <v>69</v>
      </c>
      <c r="C16" s="120"/>
      <c r="D16" s="120"/>
      <c r="E16" s="121"/>
      <c r="F16" s="120">
        <v>96</v>
      </c>
      <c r="G16" s="120">
        <v>69</v>
      </c>
      <c r="H16" s="120">
        <f>G16-F16</f>
        <v>-27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>
        <v>2</v>
      </c>
      <c r="T16" s="120">
        <v>2</v>
      </c>
    </row>
    <row r="17" spans="1:20" s="20" customFormat="1" ht="12.75" customHeight="1">
      <c r="A17" s="31">
        <v>12</v>
      </c>
      <c r="B17" s="32" t="s">
        <v>78</v>
      </c>
      <c r="C17" s="120"/>
      <c r="D17" s="120"/>
      <c r="E17" s="121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1:20" s="20" customFormat="1" ht="13.5" customHeight="1">
      <c r="A18" s="31"/>
      <c r="B18" s="31" t="s">
        <v>11</v>
      </c>
      <c r="C18" s="120">
        <f>SUM(C6:C15)</f>
        <v>1</v>
      </c>
      <c r="D18" s="120">
        <f>SUM(D6:D16)</f>
        <v>2</v>
      </c>
      <c r="E18" s="121">
        <f>D18-C18</f>
        <v>1</v>
      </c>
      <c r="F18" s="120">
        <f>SUM(F10:F17)</f>
        <v>135</v>
      </c>
      <c r="G18" s="120">
        <f>SUM(G10:G17)</f>
        <v>71</v>
      </c>
      <c r="H18" s="120">
        <f>G18-F18</f>
        <v>-64</v>
      </c>
      <c r="I18" s="120">
        <f>SUM(I6:I16)</f>
        <v>0</v>
      </c>
      <c r="J18" s="120">
        <f>SUM(J6:J16)</f>
        <v>0</v>
      </c>
      <c r="K18" s="120">
        <f>SUM(K6:K16)</f>
        <v>0</v>
      </c>
      <c r="L18" s="120">
        <f>SUM(L6:L16)</f>
        <v>2</v>
      </c>
      <c r="M18" s="120">
        <v>0</v>
      </c>
      <c r="N18" s="120">
        <f>SUM(N17)</f>
        <v>0</v>
      </c>
      <c r="O18" s="120">
        <f>SUM(O6:O16)</f>
        <v>0</v>
      </c>
      <c r="P18" s="120">
        <f>SUM(P6:P16)</f>
        <v>0</v>
      </c>
      <c r="Q18" s="120">
        <f>SUM(Q6:Q16)</f>
        <v>3</v>
      </c>
      <c r="R18" s="120">
        <f>SUM(R6:R16)</f>
        <v>6</v>
      </c>
      <c r="S18" s="120">
        <f>SUM(S9:S16)</f>
        <v>7</v>
      </c>
      <c r="T18" s="120">
        <f>SUM(T6:T16)</f>
        <v>5</v>
      </c>
    </row>
  </sheetData>
  <mergeCells count="13">
    <mergeCell ref="Q4:R4"/>
    <mergeCell ref="S4:T4"/>
    <mergeCell ref="I4:J4"/>
    <mergeCell ref="K4:L4"/>
    <mergeCell ref="F3:H3"/>
    <mergeCell ref="C1:R1"/>
    <mergeCell ref="C4:C5"/>
    <mergeCell ref="D4:D5"/>
    <mergeCell ref="F4:F5"/>
    <mergeCell ref="G4:G5"/>
    <mergeCell ref="M4:N4"/>
    <mergeCell ref="O4:P4"/>
    <mergeCell ref="C3:E3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75" zoomScaleNormal="65" zoomScaleSheetLayoutView="75" workbookViewId="0" topLeftCell="A1">
      <selection activeCell="K15" sqref="K15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175" t="s">
        <v>111</v>
      </c>
      <c r="D1" s="175"/>
      <c r="E1" s="175"/>
      <c r="F1" s="175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160" t="s">
        <v>60</v>
      </c>
      <c r="D2" s="160"/>
      <c r="E2" s="160"/>
      <c r="F2" s="160"/>
      <c r="G2" s="20"/>
      <c r="H2" s="20"/>
      <c r="I2" s="20"/>
      <c r="J2" s="20"/>
      <c r="K2" s="20"/>
      <c r="L2" s="20"/>
      <c r="M2" s="20"/>
    </row>
    <row r="3" spans="1:13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>
      <c r="A4" s="181" t="s">
        <v>2</v>
      </c>
      <c r="B4" s="181" t="s">
        <v>3</v>
      </c>
      <c r="C4" s="24" t="s">
        <v>22</v>
      </c>
      <c r="D4" s="25"/>
      <c r="E4" s="27"/>
      <c r="F4" s="24"/>
      <c r="G4" s="25"/>
      <c r="H4" s="25" t="s">
        <v>23</v>
      </c>
      <c r="I4" s="25"/>
      <c r="J4" s="25"/>
      <c r="K4" s="27"/>
      <c r="L4" s="20"/>
      <c r="M4" s="20"/>
    </row>
    <row r="5" spans="1:13" ht="15">
      <c r="A5" s="182"/>
      <c r="B5" s="182"/>
      <c r="C5" s="18">
        <v>2010</v>
      </c>
      <c r="D5" s="19">
        <v>2011</v>
      </c>
      <c r="E5" s="19" t="s">
        <v>95</v>
      </c>
      <c r="F5" s="24" t="s">
        <v>26</v>
      </c>
      <c r="G5" s="27"/>
      <c r="H5" s="24" t="s">
        <v>24</v>
      </c>
      <c r="I5" s="27"/>
      <c r="J5" s="24" t="s">
        <v>25</v>
      </c>
      <c r="K5" s="27"/>
      <c r="L5" s="20"/>
      <c r="M5" s="20"/>
    </row>
    <row r="6" spans="1:13" ht="15">
      <c r="A6" s="183"/>
      <c r="B6" s="183"/>
      <c r="C6" s="40"/>
      <c r="D6" s="11"/>
      <c r="E6" s="11" t="s">
        <v>96</v>
      </c>
      <c r="F6" s="18">
        <v>2010</v>
      </c>
      <c r="G6" s="19">
        <v>2011</v>
      </c>
      <c r="H6" s="18">
        <v>2010</v>
      </c>
      <c r="I6" s="19">
        <v>2011</v>
      </c>
      <c r="J6" s="18">
        <v>2010</v>
      </c>
      <c r="K6" s="19">
        <v>2011</v>
      </c>
      <c r="L6" s="20"/>
      <c r="M6" s="20"/>
    </row>
    <row r="7" spans="1:13" ht="15">
      <c r="A7" s="31">
        <v>1</v>
      </c>
      <c r="B7" s="31" t="s">
        <v>61</v>
      </c>
      <c r="C7" s="22">
        <v>2.1</v>
      </c>
      <c r="D7" s="3">
        <v>6</v>
      </c>
      <c r="E7" s="36">
        <f aca="true" t="shared" si="0" ref="E7:E19">D7*100/C7</f>
        <v>285.7142857142857</v>
      </c>
      <c r="F7" s="3">
        <v>1.8</v>
      </c>
      <c r="G7" s="3">
        <v>6</v>
      </c>
      <c r="H7" s="3"/>
      <c r="I7" s="3"/>
      <c r="J7" s="3">
        <v>0.3</v>
      </c>
      <c r="K7" s="3"/>
      <c r="L7" s="20"/>
      <c r="M7" s="20"/>
    </row>
    <row r="8" spans="1:13" ht="15">
      <c r="A8" s="31">
        <v>2</v>
      </c>
      <c r="B8" s="31" t="s">
        <v>62</v>
      </c>
      <c r="C8" s="22">
        <v>0.6</v>
      </c>
      <c r="D8" s="3">
        <v>2.4</v>
      </c>
      <c r="E8" s="36">
        <f t="shared" si="0"/>
        <v>400</v>
      </c>
      <c r="F8" s="3">
        <v>0.6</v>
      </c>
      <c r="G8" s="3">
        <v>2.4</v>
      </c>
      <c r="H8" s="3"/>
      <c r="I8" s="3"/>
      <c r="J8" s="3"/>
      <c r="K8" s="3"/>
      <c r="L8" s="20"/>
      <c r="M8" s="20"/>
    </row>
    <row r="9" spans="1:13" ht="15">
      <c r="A9" s="31">
        <v>3</v>
      </c>
      <c r="B9" s="31" t="s">
        <v>63</v>
      </c>
      <c r="C9" s="22">
        <v>0.04</v>
      </c>
      <c r="D9" s="3">
        <v>1.3</v>
      </c>
      <c r="E9" s="36">
        <f t="shared" si="0"/>
        <v>3250</v>
      </c>
      <c r="F9" s="3">
        <v>0.04</v>
      </c>
      <c r="G9" s="3">
        <v>1.3</v>
      </c>
      <c r="H9" s="3"/>
      <c r="I9" s="3"/>
      <c r="J9" s="3"/>
      <c r="K9" s="3"/>
      <c r="L9" s="20"/>
      <c r="M9" s="20"/>
    </row>
    <row r="10" spans="1:13" ht="15">
      <c r="A10" s="31">
        <v>4</v>
      </c>
      <c r="B10" s="41" t="s">
        <v>64</v>
      </c>
      <c r="C10" s="22">
        <v>7.5</v>
      </c>
      <c r="D10" s="3">
        <v>13.8</v>
      </c>
      <c r="E10" s="36">
        <f t="shared" si="0"/>
        <v>184</v>
      </c>
      <c r="F10" s="3">
        <v>7.2</v>
      </c>
      <c r="G10" s="3">
        <v>13.2</v>
      </c>
      <c r="H10" s="3">
        <v>0.3</v>
      </c>
      <c r="I10" s="3">
        <v>0.2</v>
      </c>
      <c r="J10" s="3"/>
      <c r="K10" s="3">
        <v>0.4</v>
      </c>
      <c r="L10" s="20"/>
      <c r="M10" s="20"/>
    </row>
    <row r="11" spans="1:13" ht="15">
      <c r="A11" s="31">
        <v>5</v>
      </c>
      <c r="B11" s="31" t="s">
        <v>65</v>
      </c>
      <c r="C11" s="22">
        <v>3.9</v>
      </c>
      <c r="D11" s="3">
        <v>5.6</v>
      </c>
      <c r="E11" s="36">
        <f t="shared" si="0"/>
        <v>143.5897435897436</v>
      </c>
      <c r="F11" s="3">
        <v>2</v>
      </c>
      <c r="G11" s="3">
        <v>1</v>
      </c>
      <c r="H11" s="3"/>
      <c r="I11" s="3">
        <v>2.2</v>
      </c>
      <c r="J11" s="3">
        <v>1.9</v>
      </c>
      <c r="K11" s="3">
        <v>2.4</v>
      </c>
      <c r="L11" s="20"/>
      <c r="M11" s="20"/>
    </row>
    <row r="12" spans="1:13" ht="15">
      <c r="A12" s="31">
        <v>6</v>
      </c>
      <c r="B12" s="32" t="s">
        <v>81</v>
      </c>
      <c r="C12" s="22">
        <v>2.5</v>
      </c>
      <c r="D12" s="3">
        <v>1.5</v>
      </c>
      <c r="E12" s="36">
        <f t="shared" si="0"/>
        <v>60</v>
      </c>
      <c r="F12" s="87">
        <v>2.2</v>
      </c>
      <c r="G12" s="87">
        <v>1.5</v>
      </c>
      <c r="H12" s="87"/>
      <c r="I12" s="87"/>
      <c r="J12" s="87">
        <v>0.3</v>
      </c>
      <c r="K12" s="87"/>
      <c r="L12" s="20"/>
      <c r="M12" s="20"/>
    </row>
    <row r="13" spans="1:13" ht="15">
      <c r="A13" s="31">
        <v>7</v>
      </c>
      <c r="B13" s="32" t="s">
        <v>66</v>
      </c>
      <c r="C13" s="22"/>
      <c r="D13" s="3"/>
      <c r="E13" s="36"/>
      <c r="F13" s="87"/>
      <c r="G13" s="87"/>
      <c r="H13" s="87"/>
      <c r="I13" s="87"/>
      <c r="J13" s="87"/>
      <c r="K13" s="87"/>
      <c r="L13" s="20"/>
      <c r="M13" s="20"/>
    </row>
    <row r="14" spans="1:13" ht="15">
      <c r="A14" s="31">
        <v>8</v>
      </c>
      <c r="B14" s="32" t="s">
        <v>80</v>
      </c>
      <c r="C14" s="22">
        <v>0.7</v>
      </c>
      <c r="D14" s="3">
        <v>1.8</v>
      </c>
      <c r="E14" s="36">
        <f t="shared" si="0"/>
        <v>257.14285714285717</v>
      </c>
      <c r="F14" s="87">
        <v>0.7</v>
      </c>
      <c r="G14" s="87">
        <v>1.8</v>
      </c>
      <c r="H14" s="87"/>
      <c r="I14" s="87"/>
      <c r="J14" s="87"/>
      <c r="K14" s="87"/>
      <c r="L14" s="20"/>
      <c r="M14" s="20"/>
    </row>
    <row r="15" spans="1:13" ht="15">
      <c r="A15" s="31">
        <v>9</v>
      </c>
      <c r="B15" s="32" t="s">
        <v>67</v>
      </c>
      <c r="C15" s="22">
        <v>2</v>
      </c>
      <c r="D15" s="3">
        <v>0.3</v>
      </c>
      <c r="E15" s="36">
        <f t="shared" si="0"/>
        <v>15</v>
      </c>
      <c r="F15" s="87">
        <v>2</v>
      </c>
      <c r="G15" s="87">
        <v>0.3</v>
      </c>
      <c r="H15" s="87"/>
      <c r="I15" s="87"/>
      <c r="J15" s="87"/>
      <c r="K15" s="87"/>
      <c r="L15" s="20"/>
      <c r="M15" s="20"/>
    </row>
    <row r="16" spans="1:13" ht="15">
      <c r="A16" s="31">
        <v>10</v>
      </c>
      <c r="B16" s="32" t="s">
        <v>68</v>
      </c>
      <c r="C16" s="22">
        <v>0.5</v>
      </c>
      <c r="D16" s="3">
        <v>1.8</v>
      </c>
      <c r="E16" s="36">
        <f t="shared" si="0"/>
        <v>360</v>
      </c>
      <c r="F16" s="87">
        <v>0.5</v>
      </c>
      <c r="G16" s="87">
        <v>1.8</v>
      </c>
      <c r="H16" s="87"/>
      <c r="I16" s="87"/>
      <c r="J16" s="87"/>
      <c r="K16" s="87"/>
      <c r="L16" s="20"/>
      <c r="M16" s="20"/>
    </row>
    <row r="17" spans="1:13" ht="15">
      <c r="A17" s="31">
        <v>11</v>
      </c>
      <c r="B17" s="32" t="s">
        <v>69</v>
      </c>
      <c r="C17" s="22">
        <v>59</v>
      </c>
      <c r="D17" s="3">
        <v>61</v>
      </c>
      <c r="E17" s="36">
        <f t="shared" si="0"/>
        <v>103.38983050847457</v>
      </c>
      <c r="F17" s="87"/>
      <c r="G17" s="87"/>
      <c r="H17" s="87">
        <v>59</v>
      </c>
      <c r="I17" s="87">
        <v>61</v>
      </c>
      <c r="J17" s="87"/>
      <c r="K17" s="87"/>
      <c r="L17" s="20"/>
      <c r="M17" s="20"/>
    </row>
    <row r="18" spans="1:13" ht="15">
      <c r="A18" s="31">
        <v>12</v>
      </c>
      <c r="B18" s="32" t="s">
        <v>78</v>
      </c>
      <c r="C18" s="85"/>
      <c r="D18" s="3">
        <v>1</v>
      </c>
      <c r="E18" s="36"/>
      <c r="F18" s="87"/>
      <c r="G18" s="87"/>
      <c r="H18" s="87"/>
      <c r="I18" s="87"/>
      <c r="J18" s="87"/>
      <c r="K18" s="87">
        <v>1</v>
      </c>
      <c r="L18" s="20"/>
      <c r="M18" s="20"/>
    </row>
    <row r="19" spans="1:13" ht="15">
      <c r="A19" s="173" t="s">
        <v>11</v>
      </c>
      <c r="B19" s="174"/>
      <c r="C19" s="118">
        <f>SUM(C7:C18)</f>
        <v>78.84</v>
      </c>
      <c r="D19" s="118">
        <f>SUM(D7:D18)</f>
        <v>96.5</v>
      </c>
      <c r="E19" s="36">
        <f t="shared" si="0"/>
        <v>122.3997970573313</v>
      </c>
      <c r="F19" s="119">
        <f>SUM(F7:F17)</f>
        <v>17.04</v>
      </c>
      <c r="G19" s="118">
        <f>SUM(G7:G17)</f>
        <v>29.3</v>
      </c>
      <c r="H19" s="118">
        <f>SUM(H7:H18)</f>
        <v>59.3</v>
      </c>
      <c r="I19" s="118">
        <f>SUM(I7:I18)</f>
        <v>63.4</v>
      </c>
      <c r="J19" s="118">
        <f>SUM(J7:J17)</f>
        <v>2.4999999999999996</v>
      </c>
      <c r="K19" s="118">
        <f>SUM(K7:K18)</f>
        <v>3.8</v>
      </c>
      <c r="L19" s="96"/>
      <c r="M19" s="20"/>
    </row>
  </sheetData>
  <mergeCells count="5">
    <mergeCell ref="C2:F2"/>
    <mergeCell ref="C1:F1"/>
    <mergeCell ref="A19:B19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G9" sqref="G9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6.37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7.8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107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 t="s">
        <v>58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80"/>
      <c r="B4" s="23" t="s">
        <v>3</v>
      </c>
      <c r="C4" s="26" t="s">
        <v>71</v>
      </c>
      <c r="D4" s="104"/>
      <c r="E4" s="104"/>
      <c r="F4" s="102"/>
      <c r="G4" s="102"/>
      <c r="H4" s="105"/>
      <c r="I4" s="97" t="s">
        <v>49</v>
      </c>
      <c r="J4" s="102"/>
      <c r="K4" s="104"/>
      <c r="L4" s="102"/>
      <c r="M4" s="102"/>
      <c r="N4" s="105"/>
      <c r="O4" s="97" t="s">
        <v>50</v>
      </c>
      <c r="P4" s="102"/>
      <c r="Q4" s="104"/>
      <c r="R4" s="102"/>
      <c r="S4" s="102"/>
      <c r="T4" s="105"/>
    </row>
    <row r="5" spans="1:20" ht="15" customHeight="1">
      <c r="A5" s="81" t="s">
        <v>2</v>
      </c>
      <c r="B5" s="33"/>
      <c r="C5" s="25" t="s">
        <v>51</v>
      </c>
      <c r="D5" s="102"/>
      <c r="E5" s="127" t="s">
        <v>108</v>
      </c>
      <c r="F5" s="97" t="s">
        <v>52</v>
      </c>
      <c r="G5" s="101"/>
      <c r="H5" s="127" t="s">
        <v>108</v>
      </c>
      <c r="I5" s="130" t="s">
        <v>51</v>
      </c>
      <c r="J5" s="130"/>
      <c r="K5" s="127" t="s">
        <v>108</v>
      </c>
      <c r="L5" s="130" t="s">
        <v>52</v>
      </c>
      <c r="M5" s="130"/>
      <c r="N5" s="127" t="s">
        <v>108</v>
      </c>
      <c r="O5" s="102" t="s">
        <v>51</v>
      </c>
      <c r="P5" s="102"/>
      <c r="Q5" s="127" t="s">
        <v>108</v>
      </c>
      <c r="R5" s="131" t="s">
        <v>52</v>
      </c>
      <c r="S5" s="132"/>
      <c r="T5" s="127" t="s">
        <v>108</v>
      </c>
    </row>
    <row r="6" spans="1:20" ht="15">
      <c r="A6" s="81" t="s">
        <v>77</v>
      </c>
      <c r="B6" s="33"/>
      <c r="C6" s="123">
        <v>2010</v>
      </c>
      <c r="D6" s="125">
        <v>2011</v>
      </c>
      <c r="E6" s="128"/>
      <c r="F6" s="125">
        <v>2010</v>
      </c>
      <c r="G6" s="125">
        <v>2011</v>
      </c>
      <c r="H6" s="128"/>
      <c r="I6" s="125">
        <v>2010</v>
      </c>
      <c r="J6" s="125">
        <v>2011</v>
      </c>
      <c r="K6" s="128"/>
      <c r="L6" s="125">
        <v>2010</v>
      </c>
      <c r="M6" s="125">
        <v>2011</v>
      </c>
      <c r="N6" s="128"/>
      <c r="O6" s="125">
        <v>2010</v>
      </c>
      <c r="P6" s="125">
        <v>2011</v>
      </c>
      <c r="Q6" s="128"/>
      <c r="R6" s="125">
        <v>2010</v>
      </c>
      <c r="S6" s="125">
        <v>2011</v>
      </c>
      <c r="T6" s="128"/>
    </row>
    <row r="7" spans="1:20" ht="15">
      <c r="A7" s="82"/>
      <c r="B7" s="29"/>
      <c r="C7" s="124"/>
      <c r="D7" s="126"/>
      <c r="E7" s="129"/>
      <c r="F7" s="126"/>
      <c r="G7" s="126"/>
      <c r="H7" s="129"/>
      <c r="I7" s="126"/>
      <c r="J7" s="126"/>
      <c r="K7" s="129"/>
      <c r="L7" s="126"/>
      <c r="M7" s="126"/>
      <c r="N7" s="129"/>
      <c r="O7" s="126"/>
      <c r="P7" s="126"/>
      <c r="Q7" s="129"/>
      <c r="R7" s="126"/>
      <c r="S7" s="126"/>
      <c r="T7" s="129"/>
    </row>
    <row r="8" spans="1:20" ht="15">
      <c r="A8" s="2">
        <v>1</v>
      </c>
      <c r="B8" s="22" t="s">
        <v>61</v>
      </c>
      <c r="C8" s="113">
        <v>19</v>
      </c>
      <c r="D8" s="3">
        <v>23</v>
      </c>
      <c r="E8" s="36">
        <f aca="true" t="shared" si="0" ref="E8:E17">D8/C8*100</f>
        <v>121.05263157894737</v>
      </c>
      <c r="F8" s="113"/>
      <c r="G8" s="3"/>
      <c r="H8" s="36"/>
      <c r="I8" s="113">
        <v>4061</v>
      </c>
      <c r="J8" s="3">
        <v>5878</v>
      </c>
      <c r="K8" s="36">
        <f>J8*100/I8</f>
        <v>144.74267421817285</v>
      </c>
      <c r="L8" s="113"/>
      <c r="M8" s="3"/>
      <c r="N8" s="36"/>
      <c r="O8" s="36">
        <f aca="true" t="shared" si="1" ref="O8:O17">C8/I8*100000</f>
        <v>467.86505786752036</v>
      </c>
      <c r="P8" s="36">
        <f aca="true" t="shared" si="2" ref="P8:P16">D8/J8*100000</f>
        <v>391.28955427015995</v>
      </c>
      <c r="Q8" s="36">
        <f aca="true" t="shared" si="3" ref="Q8:Q17">P8/O8*100</f>
        <v>83.63299367847998</v>
      </c>
      <c r="R8" s="36"/>
      <c r="S8" s="36"/>
      <c r="T8" s="36"/>
    </row>
    <row r="9" spans="1:20" ht="15">
      <c r="A9" s="2">
        <v>2</v>
      </c>
      <c r="B9" s="22" t="s">
        <v>62</v>
      </c>
      <c r="C9" s="113">
        <v>3</v>
      </c>
      <c r="D9" s="3">
        <v>4.92</v>
      </c>
      <c r="E9" s="36">
        <f t="shared" si="0"/>
        <v>164</v>
      </c>
      <c r="F9" s="113"/>
      <c r="G9" s="3"/>
      <c r="H9" s="36"/>
      <c r="I9" s="113">
        <v>2759</v>
      </c>
      <c r="J9" s="3">
        <v>2084</v>
      </c>
      <c r="K9" s="36">
        <f aca="true" t="shared" si="4" ref="K9:K19">J9*100/I9</f>
        <v>75.53461399057629</v>
      </c>
      <c r="L9" s="113"/>
      <c r="M9" s="3"/>
      <c r="N9" s="36"/>
      <c r="O9" s="36">
        <f t="shared" si="1"/>
        <v>108.73504893077201</v>
      </c>
      <c r="P9" s="36">
        <f t="shared" si="2"/>
        <v>236.084452975048</v>
      </c>
      <c r="Q9" s="36">
        <f t="shared" si="3"/>
        <v>217.11900191938582</v>
      </c>
      <c r="R9" s="36"/>
      <c r="S9" s="36"/>
      <c r="T9" s="36"/>
    </row>
    <row r="10" spans="1:20" ht="15">
      <c r="A10" s="2">
        <v>3</v>
      </c>
      <c r="B10" s="37" t="s">
        <v>63</v>
      </c>
      <c r="C10" s="114">
        <v>5</v>
      </c>
      <c r="D10" s="19">
        <v>10</v>
      </c>
      <c r="E10" s="36">
        <f t="shared" si="0"/>
        <v>200</v>
      </c>
      <c r="F10" s="114"/>
      <c r="G10" s="19"/>
      <c r="H10" s="36"/>
      <c r="I10" s="113">
        <v>734</v>
      </c>
      <c r="J10" s="3">
        <v>1240</v>
      </c>
      <c r="K10" s="36">
        <f t="shared" si="4"/>
        <v>168.93732970027247</v>
      </c>
      <c r="L10" s="114"/>
      <c r="M10" s="19"/>
      <c r="N10" s="86"/>
      <c r="O10" s="36">
        <f t="shared" si="1"/>
        <v>681.1989100817439</v>
      </c>
      <c r="P10" s="36">
        <f t="shared" si="2"/>
        <v>806.4516129032257</v>
      </c>
      <c r="Q10" s="36">
        <f t="shared" si="3"/>
        <v>118.38709677419355</v>
      </c>
      <c r="R10" s="86"/>
      <c r="S10" s="86"/>
      <c r="T10" s="86"/>
    </row>
    <row r="11" spans="1:20" ht="15">
      <c r="A11" s="2">
        <v>4</v>
      </c>
      <c r="B11" s="22" t="s">
        <v>64</v>
      </c>
      <c r="C11" s="113">
        <v>47</v>
      </c>
      <c r="D11" s="3">
        <v>9</v>
      </c>
      <c r="E11" s="36">
        <f t="shared" si="0"/>
        <v>19.148936170212767</v>
      </c>
      <c r="F11" s="113">
        <v>10</v>
      </c>
      <c r="G11" s="3">
        <v>16</v>
      </c>
      <c r="H11" s="36">
        <f>G11/F11*100</f>
        <v>160</v>
      </c>
      <c r="I11" s="113">
        <v>16275</v>
      </c>
      <c r="J11" s="3">
        <v>15109</v>
      </c>
      <c r="K11" s="36">
        <f t="shared" si="4"/>
        <v>92.83563748079877</v>
      </c>
      <c r="L11" s="113">
        <v>3565</v>
      </c>
      <c r="M11" s="3">
        <v>5146</v>
      </c>
      <c r="N11" s="36">
        <f>M11/L11*100</f>
        <v>144.34782608695653</v>
      </c>
      <c r="O11" s="36">
        <f t="shared" si="1"/>
        <v>288.78648233486945</v>
      </c>
      <c r="P11" s="36">
        <f t="shared" si="2"/>
        <v>59.56714541002052</v>
      </c>
      <c r="Q11" s="36">
        <f t="shared" si="3"/>
        <v>20.6267083308103</v>
      </c>
      <c r="R11" s="36">
        <f>F11/L11*100000</f>
        <v>280.50490883590464</v>
      </c>
      <c r="S11" s="36">
        <f>G11/M11*100000</f>
        <v>310.9211037699184</v>
      </c>
      <c r="T11" s="36">
        <f>S11/R11*100</f>
        <v>110.8433734939759</v>
      </c>
    </row>
    <row r="12" spans="1:20" ht="15">
      <c r="A12" s="2">
        <v>5</v>
      </c>
      <c r="B12" s="22" t="s">
        <v>65</v>
      </c>
      <c r="C12" s="115">
        <v>27</v>
      </c>
      <c r="D12" s="87">
        <v>20</v>
      </c>
      <c r="E12" s="88">
        <f t="shared" si="0"/>
        <v>74.07407407407408</v>
      </c>
      <c r="F12" s="115">
        <v>9</v>
      </c>
      <c r="G12" s="87">
        <v>21</v>
      </c>
      <c r="H12" s="36">
        <f>G12/F12*100</f>
        <v>233.33333333333334</v>
      </c>
      <c r="I12" s="113">
        <v>5018</v>
      </c>
      <c r="J12" s="3">
        <v>3644</v>
      </c>
      <c r="K12" s="36">
        <f t="shared" si="4"/>
        <v>72.61857313670785</v>
      </c>
      <c r="L12" s="113">
        <v>3220</v>
      </c>
      <c r="M12" s="3">
        <v>5659</v>
      </c>
      <c r="N12" s="36">
        <f>M12/L12*100</f>
        <v>175.74534161490683</v>
      </c>
      <c r="O12" s="36">
        <f t="shared" si="1"/>
        <v>538.0629732961339</v>
      </c>
      <c r="P12" s="36">
        <f t="shared" si="2"/>
        <v>548.8474204171241</v>
      </c>
      <c r="Q12" s="36">
        <f t="shared" si="3"/>
        <v>102.00430946863439</v>
      </c>
      <c r="R12" s="36">
        <f>F12/L12*100000</f>
        <v>279.50310559006215</v>
      </c>
      <c r="S12" s="36">
        <f>G12/M12*100000</f>
        <v>371.0902986393356</v>
      </c>
      <c r="T12" s="36">
        <f>S12/R12*100</f>
        <v>132.76786240207338</v>
      </c>
    </row>
    <row r="13" spans="1:20" ht="15">
      <c r="A13" s="2">
        <v>6</v>
      </c>
      <c r="B13" s="38" t="s">
        <v>81</v>
      </c>
      <c r="C13" s="115">
        <v>12.44</v>
      </c>
      <c r="D13" s="87">
        <v>9.26</v>
      </c>
      <c r="E13" s="88">
        <f t="shared" si="0"/>
        <v>74.43729903536978</v>
      </c>
      <c r="F13" s="115"/>
      <c r="G13" s="87"/>
      <c r="H13" s="88"/>
      <c r="I13" s="115">
        <v>4109</v>
      </c>
      <c r="J13" s="87">
        <v>4331</v>
      </c>
      <c r="K13" s="36">
        <f t="shared" si="4"/>
        <v>105.40277439766366</v>
      </c>
      <c r="L13" s="115"/>
      <c r="M13" s="87"/>
      <c r="N13" s="88"/>
      <c r="O13" s="36">
        <f t="shared" si="1"/>
        <v>302.75006084205404</v>
      </c>
      <c r="P13" s="36">
        <f t="shared" si="2"/>
        <v>213.80743477256982</v>
      </c>
      <c r="Q13" s="36">
        <f t="shared" si="3"/>
        <v>70.62176442769207</v>
      </c>
      <c r="R13" s="36"/>
      <c r="S13" s="36"/>
      <c r="T13" s="88"/>
    </row>
    <row r="14" spans="1:20" ht="15">
      <c r="A14" s="2">
        <v>7</v>
      </c>
      <c r="B14" s="38" t="s">
        <v>66</v>
      </c>
      <c r="C14" s="115">
        <v>8</v>
      </c>
      <c r="D14" s="87">
        <v>7</v>
      </c>
      <c r="E14" s="88">
        <f t="shared" si="0"/>
        <v>87.5</v>
      </c>
      <c r="F14" s="115"/>
      <c r="G14" s="87"/>
      <c r="H14" s="88"/>
      <c r="I14" s="115">
        <v>2496</v>
      </c>
      <c r="J14" s="87">
        <v>2666</v>
      </c>
      <c r="K14" s="36">
        <f t="shared" si="4"/>
        <v>106.81089743589743</v>
      </c>
      <c r="L14" s="115"/>
      <c r="M14" s="87"/>
      <c r="N14" s="88"/>
      <c r="O14" s="36">
        <f t="shared" si="1"/>
        <v>320.5128205128205</v>
      </c>
      <c r="P14" s="36">
        <f t="shared" si="2"/>
        <v>262.5656414103526</v>
      </c>
      <c r="Q14" s="88">
        <f t="shared" si="3"/>
        <v>81.92048012003002</v>
      </c>
      <c r="R14" s="36"/>
      <c r="S14" s="85"/>
      <c r="T14" s="88"/>
    </row>
    <row r="15" spans="1:20" s="72" customFormat="1" ht="15">
      <c r="A15" s="2">
        <v>8</v>
      </c>
      <c r="B15" s="32" t="s">
        <v>80</v>
      </c>
      <c r="C15" s="116">
        <v>10.88</v>
      </c>
      <c r="D15" s="89">
        <v>13.52</v>
      </c>
      <c r="E15" s="90">
        <f t="shared" si="0"/>
        <v>124.26470588235293</v>
      </c>
      <c r="F15" s="116"/>
      <c r="G15" s="89"/>
      <c r="H15" s="90"/>
      <c r="I15" s="116">
        <v>2604</v>
      </c>
      <c r="J15" s="89">
        <v>2897</v>
      </c>
      <c r="K15" s="36">
        <f t="shared" si="4"/>
        <v>111.25192012288787</v>
      </c>
      <c r="L15" s="116"/>
      <c r="M15" s="89"/>
      <c r="N15" s="90"/>
      <c r="O15" s="36">
        <f t="shared" si="1"/>
        <v>417.81874039938555</v>
      </c>
      <c r="P15" s="36">
        <f t="shared" si="2"/>
        <v>466.68967897825337</v>
      </c>
      <c r="Q15" s="90">
        <f t="shared" si="3"/>
        <v>111.69668419663343</v>
      </c>
      <c r="R15" s="36"/>
      <c r="S15" s="36"/>
      <c r="T15" s="36"/>
    </row>
    <row r="16" spans="1:20" ht="15">
      <c r="A16" s="2">
        <v>9</v>
      </c>
      <c r="B16" s="38" t="s">
        <v>67</v>
      </c>
      <c r="C16" s="115">
        <v>17</v>
      </c>
      <c r="D16" s="87">
        <v>1</v>
      </c>
      <c r="E16" s="88">
        <f t="shared" si="0"/>
        <v>5.88235294117647</v>
      </c>
      <c r="F16" s="115"/>
      <c r="G16" s="87"/>
      <c r="H16" s="88"/>
      <c r="I16" s="115">
        <v>2418</v>
      </c>
      <c r="J16" s="87">
        <v>4351</v>
      </c>
      <c r="K16" s="36">
        <f t="shared" si="4"/>
        <v>179.94210090984285</v>
      </c>
      <c r="L16" s="115"/>
      <c r="M16" s="87"/>
      <c r="N16" s="88"/>
      <c r="O16" s="36">
        <f t="shared" si="1"/>
        <v>703.0603804797354</v>
      </c>
      <c r="P16" s="36">
        <f t="shared" si="2"/>
        <v>22.983222247759134</v>
      </c>
      <c r="Q16" s="88">
        <f t="shared" si="3"/>
        <v>3.2690253761812693</v>
      </c>
      <c r="R16" s="36"/>
      <c r="S16" s="36"/>
      <c r="T16" s="88"/>
    </row>
    <row r="17" spans="1:20" ht="15">
      <c r="A17" s="2">
        <v>10</v>
      </c>
      <c r="B17" s="38" t="s">
        <v>68</v>
      </c>
      <c r="C17" s="115">
        <v>5.2</v>
      </c>
      <c r="D17" s="87">
        <v>4.9</v>
      </c>
      <c r="E17" s="88">
        <f t="shared" si="0"/>
        <v>94.23076923076923</v>
      </c>
      <c r="F17" s="115"/>
      <c r="G17" s="87"/>
      <c r="H17" s="88"/>
      <c r="I17" s="115">
        <v>930</v>
      </c>
      <c r="J17" s="87">
        <v>1550</v>
      </c>
      <c r="K17" s="36">
        <f t="shared" si="4"/>
        <v>166.66666666666666</v>
      </c>
      <c r="L17" s="115"/>
      <c r="M17" s="87"/>
      <c r="N17" s="88"/>
      <c r="O17" s="36">
        <f t="shared" si="1"/>
        <v>559.1397849462365</v>
      </c>
      <c r="P17" s="36">
        <f>D17/J17*100000</f>
        <v>316.12903225806457</v>
      </c>
      <c r="Q17" s="88">
        <f t="shared" si="3"/>
        <v>56.53846153846155</v>
      </c>
      <c r="R17" s="36"/>
      <c r="S17" s="36"/>
      <c r="T17" s="88"/>
    </row>
    <row r="18" spans="1:20" ht="15">
      <c r="A18" s="2">
        <v>11</v>
      </c>
      <c r="B18" s="83" t="s">
        <v>69</v>
      </c>
      <c r="C18" s="87"/>
      <c r="D18" s="87"/>
      <c r="E18" s="88"/>
      <c r="F18" s="115">
        <v>587</v>
      </c>
      <c r="G18" s="87">
        <v>748</v>
      </c>
      <c r="H18" s="88">
        <f>G18/F18*100</f>
        <v>127.427597955707</v>
      </c>
      <c r="I18" s="3"/>
      <c r="J18" s="87"/>
      <c r="K18" s="36"/>
      <c r="L18" s="115">
        <v>176517</v>
      </c>
      <c r="M18" s="87">
        <v>197332</v>
      </c>
      <c r="N18" s="88">
        <f>M18/L18*100</f>
        <v>111.7920653534787</v>
      </c>
      <c r="O18" s="36"/>
      <c r="P18" s="36"/>
      <c r="Q18" s="88"/>
      <c r="R18" s="36">
        <f>F18/L18*100000</f>
        <v>332.5458737685322</v>
      </c>
      <c r="S18" s="36">
        <f>G18/M18*100000</f>
        <v>379.0566152474003</v>
      </c>
      <c r="T18" s="88">
        <f>S18/R18*100</f>
        <v>113.98626329408069</v>
      </c>
    </row>
    <row r="19" spans="1:20" ht="15">
      <c r="A19" s="84"/>
      <c r="B19" s="27" t="s">
        <v>11</v>
      </c>
      <c r="C19" s="91">
        <f>SUM(C8:C18)</f>
        <v>154.51999999999998</v>
      </c>
      <c r="D19" s="3">
        <f>SUM(D8:D18)</f>
        <v>102.60000000000001</v>
      </c>
      <c r="E19" s="36">
        <f>D19/C19*100</f>
        <v>66.39917162826819</v>
      </c>
      <c r="F19" s="36">
        <f>SUM(F8:F18)</f>
        <v>606</v>
      </c>
      <c r="G19" s="3">
        <f>SUM(G8:G18)</f>
        <v>785</v>
      </c>
      <c r="H19" s="36">
        <f>G19/F19*100</f>
        <v>129.53795379537954</v>
      </c>
      <c r="I19" s="3">
        <f>SUM(I8:I17)</f>
        <v>41404</v>
      </c>
      <c r="J19" s="3">
        <f>SUM(J8:J18)</f>
        <v>43750</v>
      </c>
      <c r="K19" s="36">
        <f t="shared" si="4"/>
        <v>105.66611921553474</v>
      </c>
      <c r="L19" s="3">
        <f>SUM(L8:L18)</f>
        <v>183302</v>
      </c>
      <c r="M19" s="3">
        <f>SUM(M8:M18)</f>
        <v>208137</v>
      </c>
      <c r="N19" s="36">
        <f>M19/L19*100</f>
        <v>113.54867922881364</v>
      </c>
      <c r="O19" s="36">
        <f>C19/I19*100000</f>
        <v>373.20065694135826</v>
      </c>
      <c r="P19" s="36">
        <f>D19/J19*100000</f>
        <v>234.51428571428573</v>
      </c>
      <c r="Q19" s="36">
        <f>P19/O19*100</f>
        <v>62.838658333641526</v>
      </c>
      <c r="R19" s="36">
        <f>F19/L19*100000</f>
        <v>330.6019574254509</v>
      </c>
      <c r="S19" s="36">
        <f>G19/M19*100000</f>
        <v>377.1554312784368</v>
      </c>
      <c r="T19" s="36">
        <f>S19/R19*100</f>
        <v>114.08142716864691</v>
      </c>
    </row>
  </sheetData>
  <mergeCells count="21">
    <mergeCell ref="R6:R7"/>
    <mergeCell ref="F6:F7"/>
    <mergeCell ref="T5:T7"/>
    <mergeCell ref="L5:M5"/>
    <mergeCell ref="R5:S5"/>
    <mergeCell ref="L6:L7"/>
    <mergeCell ref="M6:M7"/>
    <mergeCell ref="O6:O7"/>
    <mergeCell ref="P6:P7"/>
    <mergeCell ref="S6:S7"/>
    <mergeCell ref="Q5:Q7"/>
    <mergeCell ref="G6:G7"/>
    <mergeCell ref="H5:H7"/>
    <mergeCell ref="N5:N7"/>
    <mergeCell ref="C6:C7"/>
    <mergeCell ref="D6:D7"/>
    <mergeCell ref="K5:K7"/>
    <mergeCell ref="E5:E7"/>
    <mergeCell ref="I5:J5"/>
    <mergeCell ref="I6:I7"/>
    <mergeCell ref="J6:J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="75" zoomScaleNormal="50" zoomScaleSheetLayoutView="75" workbookViewId="0" topLeftCell="A1">
      <selection activeCell="B14" sqref="B14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6.25390625" style="0" customWidth="1"/>
    <col min="11" max="11" width="8.875" style="0" customWidth="1"/>
    <col min="12" max="13" width="8.75390625" style="0" customWidth="1"/>
    <col min="14" max="14" width="9.125" style="75" customWidth="1"/>
  </cols>
  <sheetData>
    <row r="1" ht="15.75">
      <c r="C1" s="1" t="s">
        <v>106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57</v>
      </c>
      <c r="I2" s="20"/>
      <c r="J2" s="20"/>
      <c r="K2" s="20"/>
      <c r="L2" s="20"/>
    </row>
    <row r="3" spans="1:14" ht="15" customHeight="1">
      <c r="A3" s="23" t="s">
        <v>2</v>
      </c>
      <c r="B3" s="23" t="s">
        <v>3</v>
      </c>
      <c r="C3" s="25"/>
      <c r="D3" s="25" t="s">
        <v>54</v>
      </c>
      <c r="E3" s="27"/>
      <c r="F3" s="133" t="s">
        <v>10</v>
      </c>
      <c r="G3" s="142"/>
      <c r="H3" s="143"/>
      <c r="I3" s="25" t="s">
        <v>6</v>
      </c>
      <c r="J3" s="21" t="s">
        <v>7</v>
      </c>
      <c r="K3" s="146" t="s">
        <v>74</v>
      </c>
      <c r="L3" s="147"/>
      <c r="M3" s="148"/>
      <c r="N3" s="144"/>
    </row>
    <row r="4" spans="1:14" ht="15">
      <c r="A4" s="33"/>
      <c r="B4" s="33"/>
      <c r="C4" s="9">
        <v>2010</v>
      </c>
      <c r="D4" s="42">
        <v>2011</v>
      </c>
      <c r="E4" s="19" t="s">
        <v>4</v>
      </c>
      <c r="F4" s="9">
        <v>2010</v>
      </c>
      <c r="G4" s="42">
        <v>2011</v>
      </c>
      <c r="H4" s="19" t="s">
        <v>4</v>
      </c>
      <c r="I4" s="9">
        <v>2010</v>
      </c>
      <c r="J4" s="42">
        <v>2011</v>
      </c>
      <c r="K4" s="149" t="s">
        <v>1</v>
      </c>
      <c r="L4" s="149" t="s">
        <v>75</v>
      </c>
      <c r="M4" s="151" t="s">
        <v>76</v>
      </c>
      <c r="N4" s="145"/>
    </row>
    <row r="5" spans="1:14" ht="15">
      <c r="A5" s="29"/>
      <c r="B5" s="29"/>
      <c r="C5" s="28"/>
      <c r="D5" s="35"/>
      <c r="E5" s="11">
        <v>2010</v>
      </c>
      <c r="F5" s="28"/>
      <c r="G5" s="35"/>
      <c r="H5" s="11">
        <v>2010</v>
      </c>
      <c r="I5" s="35"/>
      <c r="J5" s="29"/>
      <c r="K5" s="150"/>
      <c r="L5" s="150"/>
      <c r="M5" s="151"/>
      <c r="N5" s="145"/>
    </row>
    <row r="6" spans="1:14" ht="18">
      <c r="A6" s="3">
        <v>1</v>
      </c>
      <c r="B6" s="22" t="s">
        <v>61</v>
      </c>
      <c r="C6" s="12"/>
      <c r="D6" s="3"/>
      <c r="E6" s="36"/>
      <c r="F6" s="110">
        <v>26</v>
      </c>
      <c r="G6" s="3">
        <v>27</v>
      </c>
      <c r="H6" s="88">
        <f aca="true" t="shared" si="0" ref="H6:H16">G6*100/F6</f>
        <v>103.84615384615384</v>
      </c>
      <c r="I6" s="36">
        <f>F6+(C6*0.2)+('численность 1'!M6*0.3)+'численность 1'!G6+(('численность 1'!C6-'численность 1'!G6)*0.6)</f>
        <v>285.8</v>
      </c>
      <c r="J6" s="36">
        <f>G6+(D6*0.2)+('численность 1'!N6*0.3)+'численность 1'!H6+(('численность 1'!D6-'численность 1'!H6)*0.6)</f>
        <v>320.4</v>
      </c>
      <c r="K6" s="3">
        <v>2250</v>
      </c>
      <c r="L6" s="3">
        <v>66</v>
      </c>
      <c r="M6" s="36">
        <v>55</v>
      </c>
      <c r="N6" s="79"/>
    </row>
    <row r="7" spans="1:14" ht="18">
      <c r="A7" s="3">
        <v>2</v>
      </c>
      <c r="B7" s="22" t="s">
        <v>62</v>
      </c>
      <c r="C7" s="12"/>
      <c r="D7" s="3"/>
      <c r="E7" s="36"/>
      <c r="F7" s="110">
        <v>7</v>
      </c>
      <c r="G7" s="3">
        <v>5</v>
      </c>
      <c r="H7" s="88">
        <f t="shared" si="0"/>
        <v>71.42857142857143</v>
      </c>
      <c r="I7" s="36">
        <f>F7+(C7*0.2)+('численность 1'!M7*0.3)+'численность 1'!G7+(('численность 1'!C7-'численность 1'!G7)*0.6)</f>
        <v>165.4</v>
      </c>
      <c r="J7" s="36">
        <f>G7+(D7*0.2)+('численность 1'!N7*0.3)+'численность 1'!H7+(('численность 1'!D7-'численность 1'!H7)*0.6)</f>
        <v>168.8</v>
      </c>
      <c r="K7" s="3">
        <v>1594</v>
      </c>
      <c r="L7" s="3">
        <v>454</v>
      </c>
      <c r="M7" s="36">
        <v>254</v>
      </c>
      <c r="N7" s="79"/>
    </row>
    <row r="8" spans="1:14" ht="18">
      <c r="A8" s="3">
        <v>3</v>
      </c>
      <c r="B8" s="22" t="s">
        <v>63</v>
      </c>
      <c r="C8" s="12"/>
      <c r="D8" s="3"/>
      <c r="E8" s="36"/>
      <c r="F8" s="110">
        <v>2</v>
      </c>
      <c r="G8" s="3">
        <v>1</v>
      </c>
      <c r="H8" s="88">
        <f t="shared" si="0"/>
        <v>50</v>
      </c>
      <c r="I8" s="36">
        <f>F8+(C8*0.2)+('численность 1'!M8*0.3)+'численность 1'!G8+(('численность 1'!C8-'численность 1'!G8)*0.6)</f>
        <v>84.8</v>
      </c>
      <c r="J8" s="36">
        <f>G8+(D8*0.2)+('численность 1'!N8*0.3)+'численность 1'!H8+(('численность 1'!D8-'численность 1'!H8)*0.6)</f>
        <v>96.4</v>
      </c>
      <c r="K8" s="3">
        <v>864</v>
      </c>
      <c r="L8" s="3">
        <v>198</v>
      </c>
      <c r="M8" s="36"/>
      <c r="N8" s="79"/>
    </row>
    <row r="9" spans="1:16" ht="18">
      <c r="A9" s="3">
        <v>4</v>
      </c>
      <c r="B9" s="22" t="s">
        <v>64</v>
      </c>
      <c r="C9" s="110"/>
      <c r="D9" s="3"/>
      <c r="E9" s="3"/>
      <c r="F9" s="110">
        <v>34</v>
      </c>
      <c r="G9" s="3">
        <v>24</v>
      </c>
      <c r="H9" s="88">
        <f t="shared" si="0"/>
        <v>70.58823529411765</v>
      </c>
      <c r="I9" s="36">
        <f>F9+(C9*0.2)+('численность 1'!M9*0.3)+'численность 1'!G9+(('численность 1'!C9-'численность 1'!G9)*0.6)</f>
        <v>795.2</v>
      </c>
      <c r="J9" s="36">
        <f>G9+(D9*0.2)+('численность 1'!N9*0.3)+'численность 1'!H9+(('численность 1'!D9-'численность 1'!H9)*0.6)</f>
        <v>784.4</v>
      </c>
      <c r="K9" s="87">
        <v>3884</v>
      </c>
      <c r="L9" s="87">
        <v>1191</v>
      </c>
      <c r="M9" s="88">
        <v>500</v>
      </c>
      <c r="N9" s="79"/>
      <c r="P9" t="s">
        <v>112</v>
      </c>
    </row>
    <row r="10" spans="1:14" ht="18">
      <c r="A10" s="3">
        <v>5</v>
      </c>
      <c r="B10" s="22" t="s">
        <v>65</v>
      </c>
      <c r="C10" s="110">
        <v>117</v>
      </c>
      <c r="D10" s="85">
        <v>142</v>
      </c>
      <c r="E10" s="88">
        <f>D10*100/C10</f>
        <v>121.36752136752136</v>
      </c>
      <c r="F10" s="110">
        <v>49</v>
      </c>
      <c r="G10" s="3">
        <v>22</v>
      </c>
      <c r="H10" s="88">
        <f t="shared" si="0"/>
        <v>44.89795918367347</v>
      </c>
      <c r="I10" s="36">
        <f>F10+(C10*0.2)+('численность 1'!M10*0.3)+'численность 1'!G10+(('численность 1'!C10-'численность 1'!G10)*0.6)</f>
        <v>569.6</v>
      </c>
      <c r="J10" s="36">
        <f>G10+(C10*0.2)+('численность 1'!N10*0.3)+'численность 1'!H10+(('численность 1'!D10-'численность 1'!H10)*0.6)</f>
        <v>611.6</v>
      </c>
      <c r="K10" s="3">
        <v>2811</v>
      </c>
      <c r="L10" s="3">
        <v>573</v>
      </c>
      <c r="M10" s="36"/>
      <c r="N10" s="79"/>
    </row>
    <row r="11" spans="1:14" ht="18">
      <c r="A11" s="3">
        <v>6</v>
      </c>
      <c r="B11" s="38" t="s">
        <v>81</v>
      </c>
      <c r="C11" s="16"/>
      <c r="D11" s="87"/>
      <c r="E11" s="88"/>
      <c r="F11" s="110">
        <v>15</v>
      </c>
      <c r="G11" s="3">
        <v>12</v>
      </c>
      <c r="H11" s="88">
        <f t="shared" si="0"/>
        <v>80</v>
      </c>
      <c r="I11" s="36">
        <f>F11+(C11*0.2)+('численность 1'!M11*0.3)+'численность 1'!G11+(('численность 1'!C11-'численность 1'!G11)*0.6)</f>
        <v>241.6</v>
      </c>
      <c r="J11" s="36">
        <f>G11+(C11*0.2)+('численность 1'!N11*0.3)+'численность 1'!H11+(('численность 1'!D11-'численность 1'!H11)*0.6)</f>
        <v>241.6</v>
      </c>
      <c r="K11" s="87">
        <v>3797</v>
      </c>
      <c r="L11" s="87">
        <v>1200</v>
      </c>
      <c r="M11" s="88"/>
      <c r="N11" s="79"/>
    </row>
    <row r="12" spans="1:14" ht="18">
      <c r="A12" s="3">
        <v>7</v>
      </c>
      <c r="B12" s="38" t="s">
        <v>66</v>
      </c>
      <c r="C12" s="16"/>
      <c r="D12" s="87"/>
      <c r="E12" s="88"/>
      <c r="F12" s="112">
        <v>4</v>
      </c>
      <c r="G12" s="87">
        <v>3</v>
      </c>
      <c r="H12" s="88">
        <f t="shared" si="0"/>
        <v>75</v>
      </c>
      <c r="I12" s="36">
        <f>F12+(C12*0.2)+('численность 1'!M12*0.3)+'численность 1'!G12+(('численность 1'!C12-'численность 1'!G12)*0.6)</f>
        <v>105.19999999999999</v>
      </c>
      <c r="J12" s="36">
        <f>G12+(C12*0.2)+('численность 1'!N12*0.3)+'численность 1'!H12+(('численность 1'!D12-'численность 1'!H12)*0.6)</f>
        <v>122.4</v>
      </c>
      <c r="K12" s="87">
        <v>704</v>
      </c>
      <c r="L12" s="87">
        <v>490</v>
      </c>
      <c r="M12" s="36"/>
      <c r="N12" s="79"/>
    </row>
    <row r="13" spans="1:14" ht="18">
      <c r="A13" s="3">
        <v>8</v>
      </c>
      <c r="B13" s="32" t="s">
        <v>80</v>
      </c>
      <c r="C13" s="16">
        <v>58</v>
      </c>
      <c r="D13" s="87">
        <v>101</v>
      </c>
      <c r="E13" s="88">
        <f>D13*100/C13</f>
        <v>174.13793103448276</v>
      </c>
      <c r="F13" s="110">
        <v>4</v>
      </c>
      <c r="G13" s="3">
        <v>5</v>
      </c>
      <c r="H13" s="88">
        <f t="shared" si="0"/>
        <v>125</v>
      </c>
      <c r="I13" s="36">
        <f>F13+(C13*0.2)+('численность 1'!M13*0.3)+'численность 1'!G13+(('численность 1'!C13-'численность 1'!G13)*0.6)</f>
        <v>150</v>
      </c>
      <c r="J13" s="36">
        <f>G13+(C13*0.2)+('численность 1'!N13*0.3)+'численность 1'!H13+(('численность 1'!D13-'численность 1'!H13)*0.6)</f>
        <v>178</v>
      </c>
      <c r="K13" s="87">
        <v>1366</v>
      </c>
      <c r="L13" s="87">
        <v>450</v>
      </c>
      <c r="M13" s="36"/>
      <c r="N13" s="79"/>
    </row>
    <row r="14" spans="1:14" ht="18">
      <c r="A14" s="3">
        <v>9</v>
      </c>
      <c r="B14" s="38" t="s">
        <v>67</v>
      </c>
      <c r="C14" s="87"/>
      <c r="D14" s="87"/>
      <c r="E14" s="88"/>
      <c r="F14" s="110">
        <v>15</v>
      </c>
      <c r="G14" s="3">
        <v>4</v>
      </c>
      <c r="H14" s="88">
        <f t="shared" si="0"/>
        <v>26.666666666666668</v>
      </c>
      <c r="I14" s="36">
        <f>F14+(C14*0.2)+('численность 1'!M14*0.3)+'численность 1'!G14+(('численность 1'!C14-'численность 1'!G14)*0.6)</f>
        <v>176.8</v>
      </c>
      <c r="J14" s="36">
        <f>G14+(C14*0.2)+('численность 1'!N14*0.3)+'численность 1'!H14+(('численность 1'!D14-'численность 1'!H14)*0.6)</f>
        <v>190.39999999999998</v>
      </c>
      <c r="K14" s="87">
        <v>1496</v>
      </c>
      <c r="L14" s="87">
        <v>699</v>
      </c>
      <c r="M14" s="36"/>
      <c r="N14" s="79"/>
    </row>
    <row r="15" spans="1:14" ht="18">
      <c r="A15" s="3">
        <v>10</v>
      </c>
      <c r="B15" s="38" t="s">
        <v>68</v>
      </c>
      <c r="C15" s="87"/>
      <c r="D15" s="87"/>
      <c r="E15" s="88"/>
      <c r="F15" s="110">
        <v>3</v>
      </c>
      <c r="G15" s="3">
        <v>2</v>
      </c>
      <c r="H15" s="88">
        <f t="shared" si="0"/>
        <v>66.66666666666667</v>
      </c>
      <c r="I15" s="36">
        <f>F15+(C15*0.2)+('численность 1'!M15*0.3)+'численность 1'!G15+(('численность 1'!C15-'численность 1'!G15)*0.6)</f>
        <v>66</v>
      </c>
      <c r="J15" s="36">
        <f>G15+(C15*0.2)+('численность 1'!N15*0.3)+'численность 1'!H15+(('численность 1'!D15-'численность 1'!H15)*0.6)</f>
        <v>77.6</v>
      </c>
      <c r="K15" s="87">
        <v>650</v>
      </c>
      <c r="L15" s="87">
        <v>20</v>
      </c>
      <c r="M15" s="36"/>
      <c r="N15" s="79"/>
    </row>
    <row r="16" spans="1:14" ht="18">
      <c r="A16" s="3">
        <v>11</v>
      </c>
      <c r="B16" s="38" t="s">
        <v>69</v>
      </c>
      <c r="C16" s="87"/>
      <c r="D16" s="87"/>
      <c r="E16" s="88"/>
      <c r="F16" s="110">
        <v>1</v>
      </c>
      <c r="G16" s="3">
        <v>1</v>
      </c>
      <c r="H16" s="88">
        <f t="shared" si="0"/>
        <v>100</v>
      </c>
      <c r="I16" s="36">
        <f>F16+(C16*0.2)+('численность 1'!M16*0.3)+'численность 1'!G16+(('численность 1'!C16-'численность 1'!G16)*0.6)</f>
        <v>2413</v>
      </c>
      <c r="J16" s="36">
        <f>G16+(C16*0.2)+('численность 1'!N16*0.3)+'численность 1'!H16+(('численность 1'!D16-'численность 1'!H16)*0.6)</f>
        <v>2621.2</v>
      </c>
      <c r="K16" s="87">
        <v>7900</v>
      </c>
      <c r="L16" s="87">
        <v>7900</v>
      </c>
      <c r="M16" s="88">
        <v>7900</v>
      </c>
      <c r="N16" s="79"/>
    </row>
    <row r="17" spans="1:14" ht="15">
      <c r="A17" s="3">
        <v>12</v>
      </c>
      <c r="B17" s="32" t="s">
        <v>78</v>
      </c>
      <c r="C17" s="87"/>
      <c r="D17" s="87"/>
      <c r="E17" s="88"/>
      <c r="F17" s="3"/>
      <c r="G17" s="3">
        <v>104</v>
      </c>
      <c r="H17" s="88"/>
      <c r="I17" s="36">
        <f>F17+(C17*0.2)+('численность 1'!M17*0.3)+'численность 1'!G17+(('численность 1'!C17-'численность 1'!G17)*0.6)</f>
        <v>0</v>
      </c>
      <c r="J17" s="36">
        <f>G17+(C17*0.2)+('численность 1'!N17*0.3)+'численность 1'!H17+(('численность 1'!D17-'численность 1'!H17)*0.6)</f>
        <v>104</v>
      </c>
      <c r="K17" s="87">
        <v>1520</v>
      </c>
      <c r="L17" s="87"/>
      <c r="M17" s="36"/>
      <c r="N17" s="79"/>
    </row>
    <row r="18" spans="1:14" ht="15">
      <c r="A18" s="3">
        <v>13</v>
      </c>
      <c r="B18" s="32" t="s">
        <v>91</v>
      </c>
      <c r="C18" s="87"/>
      <c r="D18" s="87"/>
      <c r="E18" s="88"/>
      <c r="F18" s="3"/>
      <c r="G18" s="3"/>
      <c r="H18" s="88"/>
      <c r="I18" s="36"/>
      <c r="J18" s="36">
        <f>G18+(C18*0.2)+('численность 1'!N18*0.3)+'численность 1'!H18+(('численность 1'!D18-'численность 1'!H18)*0.6)</f>
        <v>0</v>
      </c>
      <c r="K18" s="87"/>
      <c r="L18" s="87"/>
      <c r="M18" s="36"/>
      <c r="N18" s="79"/>
    </row>
    <row r="19" spans="1:14" ht="15">
      <c r="A19" s="22"/>
      <c r="B19" s="22" t="s">
        <v>11</v>
      </c>
      <c r="C19" s="3">
        <f>SUM(C6:C16)</f>
        <v>175</v>
      </c>
      <c r="D19" s="3">
        <f>SUM(D6:D16)</f>
        <v>243</v>
      </c>
      <c r="E19" s="36">
        <f>D19/C19*100</f>
        <v>138.85714285714286</v>
      </c>
      <c r="F19" s="3">
        <f>SUM(F6:F17)</f>
        <v>160</v>
      </c>
      <c r="G19" s="3">
        <f>SUM(G6:G17)</f>
        <v>210</v>
      </c>
      <c r="H19" s="88">
        <f>G19*100/F19</f>
        <v>131.25</v>
      </c>
      <c r="I19" s="36">
        <f>F19+(C19*0.2)+('численность 1'!M19*0.3)+'численность 1'!G19+(('численность 1'!C19-'численность 1'!G19)*0.6)</f>
        <v>5053.4</v>
      </c>
      <c r="J19" s="36">
        <f>G19+(D19*0.2)+('численность 1'!N19*0.3)+'численность 1'!H19+(('численность 1'!D19-'численность 1'!H19)*0.6)</f>
        <v>5530.4</v>
      </c>
      <c r="K19" s="3">
        <f>SUM(K6:K18)</f>
        <v>28836</v>
      </c>
      <c r="L19" s="3">
        <f>SUM(L6:L18)</f>
        <v>13241</v>
      </c>
      <c r="M19" s="36">
        <f>SUM(M6:M18)</f>
        <v>8709</v>
      </c>
      <c r="N19" s="79"/>
    </row>
  </sheetData>
  <mergeCells count="6"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view="pageBreakPreview" zoomScale="60" zoomScaleNormal="50" workbookViewId="0" topLeftCell="A1">
      <selection activeCell="B14" sqref="B14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104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56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25" t="s">
        <v>3</v>
      </c>
      <c r="C3" s="134" t="s">
        <v>83</v>
      </c>
      <c r="D3" s="154"/>
      <c r="E3" s="155"/>
      <c r="F3" s="127" t="s">
        <v>82</v>
      </c>
      <c r="G3" s="134" t="s">
        <v>8</v>
      </c>
      <c r="H3" s="154"/>
      <c r="I3" s="155"/>
      <c r="J3" s="156" t="s">
        <v>73</v>
      </c>
      <c r="K3" s="157"/>
      <c r="L3" s="158"/>
      <c r="M3" s="134" t="s">
        <v>9</v>
      </c>
      <c r="N3" s="154"/>
      <c r="O3" s="154"/>
      <c r="P3" s="154"/>
      <c r="Q3" s="154"/>
      <c r="R3" s="154"/>
      <c r="S3" s="154"/>
      <c r="T3" s="154"/>
      <c r="U3" s="155"/>
    </row>
    <row r="4" spans="1:21" s="20" customFormat="1" ht="23.25" customHeight="1">
      <c r="A4" s="33"/>
      <c r="B4" s="153"/>
      <c r="C4" s="125">
        <v>2010</v>
      </c>
      <c r="D4" s="125">
        <v>2011</v>
      </c>
      <c r="E4" s="100" t="s">
        <v>4</v>
      </c>
      <c r="F4" s="128"/>
      <c r="G4" s="125">
        <v>2010</v>
      </c>
      <c r="H4" s="125">
        <v>2011</v>
      </c>
      <c r="I4" s="100" t="s">
        <v>4</v>
      </c>
      <c r="J4" s="125">
        <v>2010</v>
      </c>
      <c r="K4" s="125">
        <v>2011</v>
      </c>
      <c r="L4" s="127" t="s">
        <v>105</v>
      </c>
      <c r="M4" s="125">
        <v>2010</v>
      </c>
      <c r="N4" s="125">
        <v>2011</v>
      </c>
      <c r="O4" s="127" t="s">
        <v>105</v>
      </c>
      <c r="P4" s="97" t="s">
        <v>5</v>
      </c>
      <c r="Q4" s="101" t="s">
        <v>72</v>
      </c>
      <c r="R4" s="127" t="s">
        <v>105</v>
      </c>
      <c r="S4" s="97" t="s">
        <v>53</v>
      </c>
      <c r="T4" s="102"/>
      <c r="U4" s="127" t="s">
        <v>105</v>
      </c>
    </row>
    <row r="5" spans="1:21" s="20" customFormat="1" ht="23.25" customHeight="1">
      <c r="A5" s="29"/>
      <c r="B5" s="126"/>
      <c r="C5" s="152"/>
      <c r="D5" s="152"/>
      <c r="E5" s="103">
        <v>2010</v>
      </c>
      <c r="F5" s="129"/>
      <c r="G5" s="152"/>
      <c r="H5" s="152"/>
      <c r="I5" s="103">
        <v>2010</v>
      </c>
      <c r="J5" s="152"/>
      <c r="K5" s="152"/>
      <c r="L5" s="159"/>
      <c r="M5" s="152"/>
      <c r="N5" s="152"/>
      <c r="O5" s="159"/>
      <c r="P5" s="98">
        <v>2010</v>
      </c>
      <c r="Q5" s="98">
        <v>2011</v>
      </c>
      <c r="R5" s="159"/>
      <c r="S5" s="98">
        <v>2010</v>
      </c>
      <c r="T5" s="98">
        <v>2011</v>
      </c>
      <c r="U5" s="159"/>
    </row>
    <row r="6" spans="1:34" s="20" customFormat="1" ht="24.75" customHeight="1">
      <c r="A6" s="3">
        <v>1</v>
      </c>
      <c r="B6" s="22" t="s">
        <v>61</v>
      </c>
      <c r="C6" s="110">
        <v>313</v>
      </c>
      <c r="D6" s="3">
        <v>369</v>
      </c>
      <c r="E6" s="36">
        <f aca="true" t="shared" si="0" ref="E6:E15">D6*100/C6</f>
        <v>117.89137380191693</v>
      </c>
      <c r="F6" s="3">
        <v>8</v>
      </c>
      <c r="G6" s="110">
        <v>180</v>
      </c>
      <c r="H6" s="3">
        <v>180</v>
      </c>
      <c r="I6" s="36">
        <f aca="true" t="shared" si="1" ref="I6:I15">H6*100/G6</f>
        <v>100</v>
      </c>
      <c r="J6" s="110">
        <v>180</v>
      </c>
      <c r="K6" s="94">
        <v>180</v>
      </c>
      <c r="L6" s="36">
        <f aca="true" t="shared" si="2" ref="L6:L19">K6*100/J6</f>
        <v>100</v>
      </c>
      <c r="M6" s="69"/>
      <c r="N6" s="3"/>
      <c r="O6" s="36"/>
      <c r="P6" s="69"/>
      <c r="Q6" s="3"/>
      <c r="R6" s="36"/>
      <c r="S6" s="111"/>
      <c r="T6" s="36"/>
      <c r="U6" s="36"/>
      <c r="AH6" s="85"/>
    </row>
    <row r="7" spans="1:34" s="20" customFormat="1" ht="24.75" customHeight="1">
      <c r="A7" s="3">
        <v>2</v>
      </c>
      <c r="B7" s="22" t="s">
        <v>62</v>
      </c>
      <c r="C7" s="110">
        <v>194</v>
      </c>
      <c r="D7" s="3">
        <v>203</v>
      </c>
      <c r="E7" s="36">
        <f t="shared" si="0"/>
        <v>104.63917525773196</v>
      </c>
      <c r="F7" s="3">
        <v>19</v>
      </c>
      <c r="G7" s="110">
        <v>105</v>
      </c>
      <c r="H7" s="3">
        <v>105</v>
      </c>
      <c r="I7" s="36">
        <f t="shared" si="1"/>
        <v>100</v>
      </c>
      <c r="J7" s="110">
        <v>105</v>
      </c>
      <c r="K7" s="94">
        <v>105</v>
      </c>
      <c r="L7" s="36">
        <f t="shared" si="2"/>
        <v>100</v>
      </c>
      <c r="M7" s="69"/>
      <c r="N7" s="3"/>
      <c r="O7" s="36"/>
      <c r="P7" s="69"/>
      <c r="Q7" s="3"/>
      <c r="R7" s="36"/>
      <c r="S7" s="111"/>
      <c r="T7" s="36"/>
      <c r="U7" s="36"/>
      <c r="AH7" s="85"/>
    </row>
    <row r="8" spans="1:34" s="20" customFormat="1" ht="24.75" customHeight="1">
      <c r="A8" s="3">
        <v>3</v>
      </c>
      <c r="B8" s="22" t="s">
        <v>63</v>
      </c>
      <c r="C8" s="110">
        <v>102</v>
      </c>
      <c r="D8" s="3">
        <v>119</v>
      </c>
      <c r="E8" s="36">
        <f t="shared" si="0"/>
        <v>116.66666666666667</v>
      </c>
      <c r="F8" s="87"/>
      <c r="G8" s="110">
        <v>54</v>
      </c>
      <c r="H8" s="3">
        <v>60</v>
      </c>
      <c r="I8" s="36">
        <f t="shared" si="1"/>
        <v>111.11111111111111</v>
      </c>
      <c r="J8" s="110">
        <v>54</v>
      </c>
      <c r="K8" s="94">
        <v>60</v>
      </c>
      <c r="L8" s="36">
        <f t="shared" si="2"/>
        <v>111.11111111111111</v>
      </c>
      <c r="M8" s="69"/>
      <c r="N8" s="3"/>
      <c r="O8" s="99"/>
      <c r="P8" s="69"/>
      <c r="Q8" s="3"/>
      <c r="R8" s="36"/>
      <c r="S8" s="111"/>
      <c r="T8" s="36"/>
      <c r="U8" s="36"/>
      <c r="AH8" s="85"/>
    </row>
    <row r="9" spans="1:34" s="20" customFormat="1" ht="24.75" customHeight="1">
      <c r="A9" s="3">
        <v>4</v>
      </c>
      <c r="B9" s="22" t="s">
        <v>64</v>
      </c>
      <c r="C9" s="110">
        <v>877</v>
      </c>
      <c r="D9" s="3">
        <v>852</v>
      </c>
      <c r="E9" s="36">
        <f t="shared" si="0"/>
        <v>97.14937286202965</v>
      </c>
      <c r="F9" s="3">
        <v>48</v>
      </c>
      <c r="G9" s="110">
        <v>304</v>
      </c>
      <c r="H9" s="3">
        <v>308</v>
      </c>
      <c r="I9" s="36">
        <f t="shared" si="1"/>
        <v>101.3157894736842</v>
      </c>
      <c r="J9" s="110">
        <v>304</v>
      </c>
      <c r="K9" s="94">
        <v>308</v>
      </c>
      <c r="L9" s="36">
        <f t="shared" si="2"/>
        <v>101.3157894736842</v>
      </c>
      <c r="M9" s="110">
        <v>378</v>
      </c>
      <c r="N9" s="3">
        <v>420</v>
      </c>
      <c r="O9" s="36">
        <f>N9*100/M9</f>
        <v>111.11111111111111</v>
      </c>
      <c r="P9" s="110">
        <v>27</v>
      </c>
      <c r="Q9" s="3">
        <v>20</v>
      </c>
      <c r="R9" s="36">
        <f>Q9*100/P9</f>
        <v>74.07407407407408</v>
      </c>
      <c r="S9" s="110">
        <v>30</v>
      </c>
      <c r="T9" s="3">
        <v>25</v>
      </c>
      <c r="U9" s="36">
        <f>T9*100/S9</f>
        <v>83.33333333333333</v>
      </c>
      <c r="AH9" s="85"/>
    </row>
    <row r="10" spans="1:34" s="20" customFormat="1" ht="24.75" customHeight="1">
      <c r="A10" s="3">
        <v>5</v>
      </c>
      <c r="B10" s="22" t="s">
        <v>65</v>
      </c>
      <c r="C10" s="110">
        <v>506</v>
      </c>
      <c r="D10" s="3">
        <v>538</v>
      </c>
      <c r="E10" s="36">
        <f t="shared" si="0"/>
        <v>106.32411067193677</v>
      </c>
      <c r="F10" s="87">
        <v>6</v>
      </c>
      <c r="G10" s="110">
        <v>250</v>
      </c>
      <c r="H10" s="3">
        <v>280</v>
      </c>
      <c r="I10" s="36">
        <f t="shared" si="1"/>
        <v>112</v>
      </c>
      <c r="J10" s="110">
        <v>250</v>
      </c>
      <c r="K10" s="94">
        <v>280</v>
      </c>
      <c r="L10" s="36">
        <f t="shared" si="2"/>
        <v>112</v>
      </c>
      <c r="M10" s="110">
        <v>312</v>
      </c>
      <c r="N10" s="3">
        <v>438</v>
      </c>
      <c r="O10" s="36">
        <f>N10*100/M10</f>
        <v>140.3846153846154</v>
      </c>
      <c r="P10" s="110">
        <v>80</v>
      </c>
      <c r="Q10" s="3">
        <v>80</v>
      </c>
      <c r="R10" s="36">
        <f>Q10*100/P10</f>
        <v>100</v>
      </c>
      <c r="S10" s="110">
        <v>21</v>
      </c>
      <c r="T10" s="3">
        <v>9</v>
      </c>
      <c r="U10" s="36">
        <f>T10*100/S10</f>
        <v>42.857142857142854</v>
      </c>
      <c r="AH10" s="85"/>
    </row>
    <row r="11" spans="1:34" s="20" customFormat="1" ht="24.75" customHeight="1">
      <c r="A11" s="3">
        <v>6</v>
      </c>
      <c r="B11" s="38" t="s">
        <v>81</v>
      </c>
      <c r="C11" s="110">
        <v>321</v>
      </c>
      <c r="D11" s="3">
        <v>326</v>
      </c>
      <c r="E11" s="36">
        <f t="shared" si="0"/>
        <v>101.5576323987539</v>
      </c>
      <c r="F11" s="87">
        <v>26</v>
      </c>
      <c r="G11" s="110">
        <v>85</v>
      </c>
      <c r="H11" s="3">
        <v>85</v>
      </c>
      <c r="I11" s="36">
        <f t="shared" si="1"/>
        <v>100</v>
      </c>
      <c r="J11" s="110">
        <v>85</v>
      </c>
      <c r="K11" s="94">
        <v>85</v>
      </c>
      <c r="L11" s="36">
        <f t="shared" si="2"/>
        <v>100</v>
      </c>
      <c r="M11" s="110"/>
      <c r="N11" s="3"/>
      <c r="O11" s="36"/>
      <c r="P11" s="110"/>
      <c r="Q11" s="3"/>
      <c r="R11" s="36"/>
      <c r="S11" s="110"/>
      <c r="T11" s="3"/>
      <c r="U11" s="36"/>
      <c r="AH11" s="85"/>
    </row>
    <row r="12" spans="1:34" s="20" customFormat="1" ht="24.75" customHeight="1">
      <c r="A12" s="3">
        <v>7</v>
      </c>
      <c r="B12" s="22" t="s">
        <v>66</v>
      </c>
      <c r="C12" s="110">
        <v>134</v>
      </c>
      <c r="D12" s="3">
        <v>159</v>
      </c>
      <c r="E12" s="36">
        <f t="shared" si="0"/>
        <v>118.65671641791045</v>
      </c>
      <c r="F12" s="3">
        <v>16</v>
      </c>
      <c r="G12" s="110">
        <v>52</v>
      </c>
      <c r="H12" s="3">
        <v>60</v>
      </c>
      <c r="I12" s="36">
        <f t="shared" si="1"/>
        <v>115.38461538461539</v>
      </c>
      <c r="J12" s="110">
        <v>52</v>
      </c>
      <c r="K12" s="94">
        <v>60</v>
      </c>
      <c r="L12" s="36">
        <f t="shared" si="2"/>
        <v>115.38461538461539</v>
      </c>
      <c r="M12" s="110"/>
      <c r="N12" s="3"/>
      <c r="O12" s="36"/>
      <c r="P12" s="110"/>
      <c r="Q12" s="3"/>
      <c r="R12" s="36"/>
      <c r="S12" s="110"/>
      <c r="T12" s="3"/>
      <c r="U12" s="36"/>
      <c r="AH12" s="85"/>
    </row>
    <row r="13" spans="1:34" s="20" customFormat="1" ht="24.75" customHeight="1">
      <c r="A13" s="3">
        <v>8</v>
      </c>
      <c r="B13" s="32" t="s">
        <v>80</v>
      </c>
      <c r="C13" s="110">
        <v>184</v>
      </c>
      <c r="D13" s="3">
        <v>217</v>
      </c>
      <c r="E13" s="36">
        <f t="shared" si="0"/>
        <v>117.93478260869566</v>
      </c>
      <c r="F13" s="3">
        <v>22</v>
      </c>
      <c r="G13" s="110">
        <v>60</v>
      </c>
      <c r="H13" s="3">
        <v>78</v>
      </c>
      <c r="I13" s="36">
        <f t="shared" si="1"/>
        <v>130</v>
      </c>
      <c r="J13" s="110">
        <v>60</v>
      </c>
      <c r="K13" s="94">
        <v>78</v>
      </c>
      <c r="L13" s="36">
        <f t="shared" si="2"/>
        <v>130</v>
      </c>
      <c r="M13" s="110"/>
      <c r="N13" s="3"/>
      <c r="O13" s="36"/>
      <c r="P13" s="110"/>
      <c r="Q13" s="3"/>
      <c r="R13" s="36"/>
      <c r="S13" s="110"/>
      <c r="T13" s="3"/>
      <c r="U13" s="36"/>
      <c r="AH13" s="85"/>
    </row>
    <row r="14" spans="1:34" s="20" customFormat="1" ht="24.75" customHeight="1">
      <c r="A14" s="3">
        <v>9</v>
      </c>
      <c r="B14" s="22" t="s">
        <v>67</v>
      </c>
      <c r="C14" s="110">
        <v>203</v>
      </c>
      <c r="D14" s="3">
        <v>244</v>
      </c>
      <c r="E14" s="36">
        <f t="shared" si="0"/>
        <v>120.19704433497537</v>
      </c>
      <c r="F14" s="3">
        <v>16</v>
      </c>
      <c r="G14" s="110">
        <v>100</v>
      </c>
      <c r="H14" s="3">
        <v>100</v>
      </c>
      <c r="I14" s="36">
        <f t="shared" si="1"/>
        <v>100</v>
      </c>
      <c r="J14" s="110">
        <v>100</v>
      </c>
      <c r="K14" s="94">
        <v>100</v>
      </c>
      <c r="L14" s="36">
        <f t="shared" si="2"/>
        <v>100</v>
      </c>
      <c r="M14" s="110"/>
      <c r="N14" s="3"/>
      <c r="O14" s="36"/>
      <c r="P14" s="110"/>
      <c r="Q14" s="3"/>
      <c r="R14" s="36"/>
      <c r="S14" s="110"/>
      <c r="T14" s="3"/>
      <c r="U14" s="36"/>
      <c r="AH14" s="85"/>
    </row>
    <row r="15" spans="1:34" s="20" customFormat="1" ht="24.75" customHeight="1">
      <c r="A15" s="3">
        <v>10</v>
      </c>
      <c r="B15" s="22" t="s">
        <v>68</v>
      </c>
      <c r="C15" s="110">
        <v>77</v>
      </c>
      <c r="D15" s="3">
        <v>98</v>
      </c>
      <c r="E15" s="36">
        <f t="shared" si="0"/>
        <v>127.27272727272727</v>
      </c>
      <c r="F15" s="3"/>
      <c r="G15" s="110">
        <v>42</v>
      </c>
      <c r="H15" s="3">
        <v>42</v>
      </c>
      <c r="I15" s="36">
        <f t="shared" si="1"/>
        <v>100</v>
      </c>
      <c r="J15" s="110">
        <v>42</v>
      </c>
      <c r="K15" s="94">
        <v>42</v>
      </c>
      <c r="L15" s="36">
        <f t="shared" si="2"/>
        <v>100</v>
      </c>
      <c r="M15" s="110"/>
      <c r="N15" s="3"/>
      <c r="O15" s="36"/>
      <c r="P15" s="110"/>
      <c r="Q15" s="3"/>
      <c r="R15" s="36"/>
      <c r="S15" s="110"/>
      <c r="T15" s="3"/>
      <c r="U15" s="36"/>
      <c r="AH15" s="85"/>
    </row>
    <row r="16" spans="1:34" s="20" customFormat="1" ht="24.75" customHeight="1">
      <c r="A16" s="3">
        <v>11</v>
      </c>
      <c r="B16" s="22" t="s">
        <v>69</v>
      </c>
      <c r="C16" s="3"/>
      <c r="D16" s="3"/>
      <c r="E16" s="36"/>
      <c r="F16" s="3"/>
      <c r="G16" s="3"/>
      <c r="H16" s="3"/>
      <c r="I16" s="36"/>
      <c r="J16" s="3"/>
      <c r="K16" s="94"/>
      <c r="L16" s="36"/>
      <c r="M16" s="110">
        <v>8040</v>
      </c>
      <c r="N16" s="3">
        <v>8734</v>
      </c>
      <c r="O16" s="36">
        <f>N16*100/M16</f>
        <v>108.6318407960199</v>
      </c>
      <c r="P16" s="110">
        <v>220</v>
      </c>
      <c r="Q16" s="3">
        <v>240</v>
      </c>
      <c r="R16" s="36">
        <f>Q16*100/P16</f>
        <v>109.0909090909091</v>
      </c>
      <c r="S16" s="110">
        <v>484</v>
      </c>
      <c r="T16" s="3">
        <v>422</v>
      </c>
      <c r="U16" s="36">
        <f>T16*100/S16</f>
        <v>87.1900826446281</v>
      </c>
      <c r="AH16" s="85"/>
    </row>
    <row r="17" spans="1:34" s="20" customFormat="1" ht="24.75" customHeight="1">
      <c r="A17" s="3">
        <v>12</v>
      </c>
      <c r="B17" s="32" t="s">
        <v>78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/>
      <c r="N17" s="3"/>
      <c r="O17" s="36"/>
      <c r="P17" s="3"/>
      <c r="Q17" s="3"/>
      <c r="R17" s="36"/>
      <c r="S17" s="3"/>
      <c r="T17" s="3"/>
      <c r="U17" s="36"/>
      <c r="AH17" s="85"/>
    </row>
    <row r="18" spans="1:34" s="20" customFormat="1" ht="24.75" customHeight="1">
      <c r="A18" s="3">
        <v>13</v>
      </c>
      <c r="B18" s="32" t="s">
        <v>91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85"/>
    </row>
    <row r="19" spans="1:21" s="20" customFormat="1" ht="21.75" customHeight="1">
      <c r="A19" s="22"/>
      <c r="B19" s="22" t="s">
        <v>11</v>
      </c>
      <c r="C19" s="3">
        <f>SUM(C6:C16)</f>
        <v>2911</v>
      </c>
      <c r="D19" s="3">
        <f>SUM(D6:D16)</f>
        <v>3125</v>
      </c>
      <c r="E19" s="36">
        <f>D19*100/C19</f>
        <v>107.35142562693233</v>
      </c>
      <c r="F19" s="3">
        <f>SUM(F6:F16)</f>
        <v>161</v>
      </c>
      <c r="G19" s="3">
        <f>SUM(G6:G16)</f>
        <v>1232</v>
      </c>
      <c r="H19" s="3">
        <f>SUM(H6:H16)</f>
        <v>1298</v>
      </c>
      <c r="I19" s="36">
        <f>H19*100/G19</f>
        <v>105.35714285714286</v>
      </c>
      <c r="J19" s="3">
        <f>SUM(J6:J18)</f>
        <v>1232</v>
      </c>
      <c r="K19" s="36">
        <f>SUM(K6:K18)</f>
        <v>1298</v>
      </c>
      <c r="L19" s="36">
        <f t="shared" si="2"/>
        <v>105.35714285714286</v>
      </c>
      <c r="M19" s="3">
        <f>SUM(M9:M16)</f>
        <v>8730</v>
      </c>
      <c r="N19" s="3">
        <f>SUM(N6:N18)</f>
        <v>9592</v>
      </c>
      <c r="O19" s="36">
        <f>N19*100/M19</f>
        <v>109.87399770904925</v>
      </c>
      <c r="P19" s="3">
        <f>SUM(P6:P16)</f>
        <v>327</v>
      </c>
      <c r="Q19" s="3">
        <f>SUM(Q6:Q18)</f>
        <v>340</v>
      </c>
      <c r="R19" s="36">
        <f>Q19*100/P19</f>
        <v>103.97553516819572</v>
      </c>
      <c r="S19" s="3">
        <f>SUM(S6:S16)</f>
        <v>535</v>
      </c>
      <c r="T19" s="36">
        <f>SUM(T6:T18)</f>
        <v>456</v>
      </c>
      <c r="U19" s="36">
        <f>T19*100/S19</f>
        <v>85.23364485981308</v>
      </c>
    </row>
  </sheetData>
  <mergeCells count="18">
    <mergeCell ref="J3:L3"/>
    <mergeCell ref="J4:J5"/>
    <mergeCell ref="K4:K5"/>
    <mergeCell ref="L4:L5"/>
    <mergeCell ref="M3:U3"/>
    <mergeCell ref="O4:O5"/>
    <mergeCell ref="N4:N5"/>
    <mergeCell ref="R4:R5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"/>
  <sheetViews>
    <sheetView view="pageBreakPreview" zoomScale="75" zoomScaleNormal="75" zoomScaleSheetLayoutView="75" workbookViewId="0" topLeftCell="A1">
      <selection activeCell="C8" sqref="C8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102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60" t="s">
        <v>59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2.75">
      <c r="A4" s="125" t="s">
        <v>2</v>
      </c>
      <c r="B4" s="127" t="s">
        <v>3</v>
      </c>
      <c r="C4" s="131" t="s">
        <v>87</v>
      </c>
      <c r="D4" s="169"/>
      <c r="E4" s="166"/>
      <c r="F4" s="161" t="s">
        <v>70</v>
      </c>
      <c r="G4" s="162"/>
      <c r="H4" s="161" t="s">
        <v>86</v>
      </c>
      <c r="I4" s="165"/>
      <c r="J4" s="166"/>
      <c r="K4" s="161" t="s">
        <v>84</v>
      </c>
      <c r="L4" s="162"/>
      <c r="M4" s="161" t="s">
        <v>85</v>
      </c>
      <c r="N4" s="162"/>
    </row>
    <row r="5" spans="1:14" ht="31.5" customHeight="1">
      <c r="A5" s="153"/>
      <c r="B5" s="128"/>
      <c r="C5" s="170"/>
      <c r="D5" s="171"/>
      <c r="E5" s="172"/>
      <c r="F5" s="163"/>
      <c r="G5" s="164"/>
      <c r="H5" s="163"/>
      <c r="I5" s="167"/>
      <c r="J5" s="168"/>
      <c r="K5" s="163"/>
      <c r="L5" s="164"/>
      <c r="M5" s="163"/>
      <c r="N5" s="164"/>
    </row>
    <row r="6" spans="1:14" ht="30">
      <c r="A6" s="126"/>
      <c r="B6" s="129"/>
      <c r="C6" s="3">
        <v>2010</v>
      </c>
      <c r="D6" s="19">
        <v>2011</v>
      </c>
      <c r="E6" s="95" t="s">
        <v>103</v>
      </c>
      <c r="F6" s="3">
        <v>2010</v>
      </c>
      <c r="G6" s="19">
        <v>2011</v>
      </c>
      <c r="H6" s="3">
        <v>2010</v>
      </c>
      <c r="I6" s="19">
        <v>2011</v>
      </c>
      <c r="J6" s="95" t="s">
        <v>103</v>
      </c>
      <c r="K6" s="22" t="s">
        <v>1</v>
      </c>
      <c r="L6" s="24" t="s">
        <v>35</v>
      </c>
      <c r="M6" s="38" t="s">
        <v>47</v>
      </c>
      <c r="N6" s="51" t="s">
        <v>48</v>
      </c>
    </row>
    <row r="7" spans="1:14" ht="16.5" customHeight="1">
      <c r="A7" s="31">
        <v>1</v>
      </c>
      <c r="B7" s="22" t="s">
        <v>64</v>
      </c>
      <c r="C7" s="31"/>
      <c r="D7" s="31"/>
      <c r="E7" s="31">
        <f>D7-C7</f>
        <v>0</v>
      </c>
      <c r="F7" s="31"/>
      <c r="G7" s="31"/>
      <c r="H7" s="77">
        <f>F7*100/27</f>
        <v>0</v>
      </c>
      <c r="I7" s="77">
        <f>G7*100/20</f>
        <v>0</v>
      </c>
      <c r="J7" s="76">
        <f>I7-H7</f>
        <v>0</v>
      </c>
      <c r="K7" s="31"/>
      <c r="L7" s="31"/>
      <c r="M7" s="93" t="e">
        <f>G7/L7</f>
        <v>#DIV/0!</v>
      </c>
      <c r="N7" s="93" t="e">
        <f>(D7-G7)/(K7-L7)</f>
        <v>#DIV/0!</v>
      </c>
    </row>
    <row r="8" spans="1:15" ht="16.5" customHeight="1">
      <c r="A8" s="31">
        <v>2</v>
      </c>
      <c r="B8" s="31" t="s">
        <v>65</v>
      </c>
      <c r="C8" s="31">
        <v>52</v>
      </c>
      <c r="D8" s="31">
        <v>29</v>
      </c>
      <c r="E8" s="31">
        <f>D8-C8</f>
        <v>-23</v>
      </c>
      <c r="F8" s="31">
        <v>52</v>
      </c>
      <c r="G8" s="31">
        <v>29</v>
      </c>
      <c r="H8" s="77">
        <f>F8*100/80</f>
        <v>65</v>
      </c>
      <c r="I8" s="77">
        <f>G8*100/80</f>
        <v>36.25</v>
      </c>
      <c r="J8" s="76">
        <f>I8-H8</f>
        <v>-28.75</v>
      </c>
      <c r="K8" s="32">
        <v>5</v>
      </c>
      <c r="L8" s="32">
        <v>5</v>
      </c>
      <c r="M8" s="93">
        <f>G8/L8</f>
        <v>5.8</v>
      </c>
      <c r="N8" s="93" t="e">
        <f>(D8-G8)/(K8-L8)</f>
        <v>#DIV/0!</v>
      </c>
      <c r="O8" s="15"/>
    </row>
    <row r="9" spans="1:14" ht="16.5" customHeight="1">
      <c r="A9" s="31">
        <v>3</v>
      </c>
      <c r="B9" s="32" t="s">
        <v>69</v>
      </c>
      <c r="C9" s="31">
        <v>510</v>
      </c>
      <c r="D9" s="31">
        <v>577</v>
      </c>
      <c r="E9" s="31">
        <f>D9-C9</f>
        <v>67</v>
      </c>
      <c r="F9" s="31">
        <v>400</v>
      </c>
      <c r="G9" s="31">
        <v>351</v>
      </c>
      <c r="H9" s="77">
        <f>F9*100/200</f>
        <v>200</v>
      </c>
      <c r="I9" s="77">
        <f>G9*100/226</f>
        <v>155.30973451327435</v>
      </c>
      <c r="J9" s="76">
        <f>I9-H9</f>
        <v>-44.69026548672565</v>
      </c>
      <c r="K9" s="32">
        <v>68</v>
      </c>
      <c r="L9" s="32">
        <v>39</v>
      </c>
      <c r="M9" s="93">
        <f>G9/L9</f>
        <v>9</v>
      </c>
      <c r="N9" s="93">
        <f>(D9-G9)/(K9-L9)</f>
        <v>7.793103448275862</v>
      </c>
    </row>
    <row r="10" spans="1:14" ht="15" customHeight="1">
      <c r="A10" s="20"/>
      <c r="B10" s="31" t="s">
        <v>11</v>
      </c>
      <c r="C10" s="31">
        <f>SUM(C7:C9)</f>
        <v>562</v>
      </c>
      <c r="D10" s="31">
        <f>SUM(D7:D9)</f>
        <v>606</v>
      </c>
      <c r="E10" s="31">
        <f>D10-C10</f>
        <v>44</v>
      </c>
      <c r="F10" s="31">
        <f>SUM(F7:F9)</f>
        <v>452</v>
      </c>
      <c r="G10" s="31">
        <f>SUM(G7:G9)</f>
        <v>380</v>
      </c>
      <c r="H10" s="77">
        <f>F10*100/307</f>
        <v>147.23127035830618</v>
      </c>
      <c r="I10" s="77">
        <f>G10*100/337</f>
        <v>112.75964391691394</v>
      </c>
      <c r="J10" s="76">
        <f>I10-H10</f>
        <v>-34.47162644139223</v>
      </c>
      <c r="K10" s="76">
        <f>SUM(K7:K9)</f>
        <v>73</v>
      </c>
      <c r="L10" s="76">
        <f>SUM(L7:L9)</f>
        <v>44</v>
      </c>
      <c r="M10" s="93">
        <f>G10/L10</f>
        <v>8.636363636363637</v>
      </c>
      <c r="N10" s="93">
        <f>(D10-G10)/(K10-L10)</f>
        <v>7.793103448275862</v>
      </c>
    </row>
  </sheetData>
  <mergeCells count="8"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65" zoomScaleNormal="75" zoomScaleSheetLayoutView="65" workbookViewId="0" topLeftCell="A1">
      <selection activeCell="G11" sqref="G11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>
      <c r="A1" s="20"/>
      <c r="B1" s="20"/>
      <c r="C1" s="1" t="s">
        <v>101</v>
      </c>
      <c r="D1" s="1"/>
      <c r="E1" s="1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25" t="s">
        <v>2</v>
      </c>
      <c r="B2" s="125" t="s">
        <v>3</v>
      </c>
      <c r="C2" s="24" t="s">
        <v>37</v>
      </c>
      <c r="D2" s="25"/>
      <c r="E2" s="27"/>
      <c r="F2" s="49" t="s">
        <v>38</v>
      </c>
      <c r="G2" s="25"/>
      <c r="H2" s="27"/>
      <c r="I2" s="24" t="s">
        <v>39</v>
      </c>
      <c r="J2" s="25"/>
      <c r="K2" s="27"/>
      <c r="L2" s="24" t="s">
        <v>40</v>
      </c>
      <c r="M2" s="25"/>
      <c r="N2" s="27"/>
    </row>
    <row r="3" spans="1:14" ht="15">
      <c r="A3" s="153"/>
      <c r="B3" s="153"/>
      <c r="C3" s="18">
        <v>2010</v>
      </c>
      <c r="D3" s="19">
        <v>2011</v>
      </c>
      <c r="E3" s="9" t="s">
        <v>36</v>
      </c>
      <c r="F3" s="18">
        <v>2010</v>
      </c>
      <c r="G3" s="19">
        <v>2011</v>
      </c>
      <c r="H3" s="9" t="s">
        <v>36</v>
      </c>
      <c r="I3" s="18">
        <v>2010</v>
      </c>
      <c r="J3" s="19">
        <v>2011</v>
      </c>
      <c r="K3" s="9" t="s">
        <v>36</v>
      </c>
      <c r="L3" s="18">
        <v>2010</v>
      </c>
      <c r="M3" s="19">
        <v>2011</v>
      </c>
      <c r="N3" s="9" t="s">
        <v>36</v>
      </c>
    </row>
    <row r="4" spans="1:14" ht="15">
      <c r="A4" s="126"/>
      <c r="B4" s="126"/>
      <c r="C4" s="29"/>
      <c r="D4" s="29"/>
      <c r="E4" s="45" t="s">
        <v>100</v>
      </c>
      <c r="F4" s="29"/>
      <c r="G4" s="29"/>
      <c r="H4" s="45" t="s">
        <v>100</v>
      </c>
      <c r="I4" s="29"/>
      <c r="J4" s="29"/>
      <c r="K4" s="45" t="s">
        <v>100</v>
      </c>
      <c r="L4" s="29"/>
      <c r="M4" s="29"/>
      <c r="N4" s="45" t="s">
        <v>100</v>
      </c>
    </row>
    <row r="5" spans="1:14" ht="16.5" customHeight="1">
      <c r="A5" s="31">
        <v>1</v>
      </c>
      <c r="B5" s="31" t="s">
        <v>61</v>
      </c>
      <c r="C5" s="117">
        <v>16</v>
      </c>
      <c r="D5" s="12">
        <v>6</v>
      </c>
      <c r="E5" s="16">
        <f aca="true" t="shared" si="0" ref="E5:E14">D5-C5</f>
        <v>-10</v>
      </c>
      <c r="F5" s="117">
        <v>10</v>
      </c>
      <c r="G5" s="12"/>
      <c r="H5" s="16">
        <f aca="true" t="shared" si="1" ref="H5:H14">G5-F5</f>
        <v>-10</v>
      </c>
      <c r="I5" s="117"/>
      <c r="J5" s="12"/>
      <c r="K5" s="12"/>
      <c r="L5" s="117"/>
      <c r="M5" s="12"/>
      <c r="N5" s="12"/>
    </row>
    <row r="6" spans="1:14" ht="16.5" customHeight="1">
      <c r="A6" s="31">
        <v>2</v>
      </c>
      <c r="B6" s="31" t="s">
        <v>62</v>
      </c>
      <c r="C6" s="117">
        <v>13</v>
      </c>
      <c r="D6" s="12">
        <v>5</v>
      </c>
      <c r="E6" s="16">
        <f t="shared" si="0"/>
        <v>-8</v>
      </c>
      <c r="F6" s="117"/>
      <c r="G6" s="12"/>
      <c r="H6" s="16">
        <f t="shared" si="1"/>
        <v>0</v>
      </c>
      <c r="I6" s="117"/>
      <c r="J6" s="12"/>
      <c r="K6" s="12"/>
      <c r="L6" s="117"/>
      <c r="M6" s="12"/>
      <c r="N6" s="12"/>
    </row>
    <row r="7" spans="1:14" ht="16.5" customHeight="1">
      <c r="A7" s="31">
        <v>3</v>
      </c>
      <c r="B7" s="31" t="s">
        <v>63</v>
      </c>
      <c r="C7" s="117">
        <v>7</v>
      </c>
      <c r="D7" s="12">
        <v>4</v>
      </c>
      <c r="E7" s="16">
        <f t="shared" si="0"/>
        <v>-3</v>
      </c>
      <c r="F7" s="117">
        <v>2</v>
      </c>
      <c r="G7" s="12"/>
      <c r="H7" s="16">
        <f t="shared" si="1"/>
        <v>-2</v>
      </c>
      <c r="I7" s="117"/>
      <c r="J7" s="12"/>
      <c r="K7" s="12"/>
      <c r="L7" s="117"/>
      <c r="M7" s="12"/>
      <c r="N7" s="12"/>
    </row>
    <row r="8" spans="1:14" ht="16.5" customHeight="1">
      <c r="A8" s="31">
        <v>4</v>
      </c>
      <c r="B8" s="22" t="s">
        <v>64</v>
      </c>
      <c r="C8" s="117">
        <v>60</v>
      </c>
      <c r="D8" s="12">
        <v>28</v>
      </c>
      <c r="E8" s="16">
        <f t="shared" si="0"/>
        <v>-32</v>
      </c>
      <c r="F8" s="117"/>
      <c r="G8" s="12"/>
      <c r="H8" s="16">
        <f t="shared" si="1"/>
        <v>0</v>
      </c>
      <c r="I8" s="117">
        <v>20</v>
      </c>
      <c r="J8" s="12">
        <v>12</v>
      </c>
      <c r="K8" s="12">
        <f>J8-I8</f>
        <v>-8</v>
      </c>
      <c r="L8" s="117">
        <v>1</v>
      </c>
      <c r="M8" s="12">
        <v>5</v>
      </c>
      <c r="N8" s="12">
        <f>M8-L8</f>
        <v>4</v>
      </c>
    </row>
    <row r="9" spans="1:14" ht="16.5" customHeight="1">
      <c r="A9" s="31">
        <v>5</v>
      </c>
      <c r="B9" s="31" t="s">
        <v>65</v>
      </c>
      <c r="C9" s="117">
        <v>55</v>
      </c>
      <c r="D9" s="12">
        <v>14</v>
      </c>
      <c r="E9" s="16">
        <f t="shared" si="0"/>
        <v>-41</v>
      </c>
      <c r="F9" s="117"/>
      <c r="G9" s="12"/>
      <c r="H9" s="16">
        <f t="shared" si="1"/>
        <v>0</v>
      </c>
      <c r="I9" s="117">
        <v>20</v>
      </c>
      <c r="J9" s="12">
        <v>16</v>
      </c>
      <c r="K9" s="12">
        <f>J9-I9</f>
        <v>-4</v>
      </c>
      <c r="L9" s="117">
        <v>1</v>
      </c>
      <c r="M9" s="12"/>
      <c r="N9" s="12">
        <f>M9-L9</f>
        <v>-1</v>
      </c>
    </row>
    <row r="10" spans="1:14" ht="16.5" customHeight="1">
      <c r="A10" s="31">
        <v>6</v>
      </c>
      <c r="B10" s="32" t="s">
        <v>81</v>
      </c>
      <c r="C10" s="117">
        <v>9</v>
      </c>
      <c r="D10" s="12">
        <v>4</v>
      </c>
      <c r="E10" s="16">
        <f t="shared" si="0"/>
        <v>-5</v>
      </c>
      <c r="F10" s="117"/>
      <c r="G10" s="12"/>
      <c r="H10" s="16">
        <f t="shared" si="1"/>
        <v>0</v>
      </c>
      <c r="I10" s="117"/>
      <c r="J10" s="12"/>
      <c r="K10" s="12"/>
      <c r="L10" s="117"/>
      <c r="M10" s="12"/>
      <c r="N10" s="12"/>
    </row>
    <row r="11" spans="1:14" ht="16.5" customHeight="1">
      <c r="A11" s="31">
        <v>7</v>
      </c>
      <c r="B11" s="32" t="s">
        <v>66</v>
      </c>
      <c r="C11" s="117">
        <v>3</v>
      </c>
      <c r="D11" s="12">
        <v>5</v>
      </c>
      <c r="E11" s="16">
        <f t="shared" si="0"/>
        <v>2</v>
      </c>
      <c r="F11" s="117"/>
      <c r="G11" s="12"/>
      <c r="H11" s="16">
        <f t="shared" si="1"/>
        <v>0</v>
      </c>
      <c r="I11" s="117"/>
      <c r="J11" s="12"/>
      <c r="K11" s="12"/>
      <c r="L11" s="117"/>
      <c r="M11" s="12"/>
      <c r="N11" s="12"/>
    </row>
    <row r="12" spans="1:14" ht="16.5" customHeight="1">
      <c r="A12" s="31">
        <v>8</v>
      </c>
      <c r="B12" s="32" t="s">
        <v>80</v>
      </c>
      <c r="C12" s="117">
        <v>20</v>
      </c>
      <c r="D12" s="12">
        <v>6</v>
      </c>
      <c r="E12" s="16">
        <f t="shared" si="0"/>
        <v>-14</v>
      </c>
      <c r="F12" s="117">
        <v>4</v>
      </c>
      <c r="G12" s="12">
        <v>3</v>
      </c>
      <c r="H12" s="16">
        <f t="shared" si="1"/>
        <v>-1</v>
      </c>
      <c r="I12" s="117"/>
      <c r="J12" s="12"/>
      <c r="K12" s="12"/>
      <c r="L12" s="117"/>
      <c r="M12" s="12"/>
      <c r="N12" s="12"/>
    </row>
    <row r="13" spans="1:14" ht="16.5" customHeight="1">
      <c r="A13" s="31">
        <v>9</v>
      </c>
      <c r="B13" s="32" t="s">
        <v>67</v>
      </c>
      <c r="C13" s="117"/>
      <c r="D13" s="12">
        <v>10</v>
      </c>
      <c r="E13" s="16">
        <f t="shared" si="0"/>
        <v>10</v>
      </c>
      <c r="F13" s="12"/>
      <c r="G13" s="12">
        <v>5</v>
      </c>
      <c r="H13" s="16">
        <f t="shared" si="1"/>
        <v>5</v>
      </c>
      <c r="I13" s="117"/>
      <c r="J13" s="12"/>
      <c r="K13" s="12"/>
      <c r="L13" s="117"/>
      <c r="M13" s="12"/>
      <c r="N13" s="12"/>
    </row>
    <row r="14" spans="1:14" ht="16.5" customHeight="1">
      <c r="A14" s="31">
        <v>10</v>
      </c>
      <c r="B14" s="32" t="s">
        <v>68</v>
      </c>
      <c r="C14" s="117">
        <v>10</v>
      </c>
      <c r="D14" s="12"/>
      <c r="E14" s="16">
        <f t="shared" si="0"/>
        <v>-10</v>
      </c>
      <c r="F14" s="12"/>
      <c r="G14" s="12"/>
      <c r="H14" s="16">
        <f t="shared" si="1"/>
        <v>0</v>
      </c>
      <c r="I14" s="117"/>
      <c r="J14" s="12"/>
      <c r="K14" s="12"/>
      <c r="L14" s="117"/>
      <c r="M14" s="12"/>
      <c r="N14" s="12"/>
    </row>
    <row r="15" spans="1:14" ht="16.5" customHeight="1">
      <c r="A15" s="31">
        <v>11</v>
      </c>
      <c r="B15" s="32" t="s">
        <v>69</v>
      </c>
      <c r="C15" s="12"/>
      <c r="D15" s="16"/>
      <c r="E15" s="16"/>
      <c r="F15" s="16"/>
      <c r="G15" s="16"/>
      <c r="H15" s="16"/>
      <c r="I15" s="117">
        <v>200</v>
      </c>
      <c r="J15" s="12">
        <v>165</v>
      </c>
      <c r="K15" s="12">
        <f>J15-I15</f>
        <v>-35</v>
      </c>
      <c r="L15" s="117">
        <v>128</v>
      </c>
      <c r="M15" s="12">
        <v>89</v>
      </c>
      <c r="N15" s="12">
        <f>M15-L15</f>
        <v>-39</v>
      </c>
    </row>
    <row r="16" spans="1:14" ht="21" customHeight="1">
      <c r="A16" s="173" t="s">
        <v>11</v>
      </c>
      <c r="B16" s="174"/>
      <c r="C16" s="12">
        <f>SUM(C5:C14)</f>
        <v>193</v>
      </c>
      <c r="D16" s="12">
        <f>SUM(D5:D15)</f>
        <v>82</v>
      </c>
      <c r="E16" s="12">
        <f>D16-C16</f>
        <v>-111</v>
      </c>
      <c r="F16" s="12">
        <f>SUM(F5:F15)</f>
        <v>16</v>
      </c>
      <c r="G16" s="12">
        <f>SUM(G5:G15)</f>
        <v>8</v>
      </c>
      <c r="H16" s="12">
        <f>G16-F16</f>
        <v>-8</v>
      </c>
      <c r="I16" s="12">
        <f>SUM(I5:I15)</f>
        <v>240</v>
      </c>
      <c r="J16" s="12">
        <f>SUM(J5:J15)</f>
        <v>193</v>
      </c>
      <c r="K16" s="12">
        <f>J16-I16</f>
        <v>-47</v>
      </c>
      <c r="L16" s="12">
        <f>SUM(L8:L15)</f>
        <v>130</v>
      </c>
      <c r="M16" s="12">
        <f>SUM(M5:M15)</f>
        <v>94</v>
      </c>
      <c r="N16" s="12">
        <f>M16-L16</f>
        <v>-36</v>
      </c>
    </row>
  </sheetData>
  <mergeCells count="3">
    <mergeCell ref="B2:B4"/>
    <mergeCell ref="A2:A4"/>
    <mergeCell ref="A16:B16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workbookViewId="0" topLeftCell="A1">
      <selection activeCell="F16" sqref="F16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75" t="s">
        <v>98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5">
      <c r="A2" s="160" t="s">
        <v>88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A4" s="130" t="s">
        <v>2</v>
      </c>
      <c r="B4" s="130" t="s">
        <v>3</v>
      </c>
      <c r="C4" s="24" t="s">
        <v>27</v>
      </c>
      <c r="D4" s="25"/>
      <c r="E4" s="27"/>
      <c r="F4" s="5" t="s">
        <v>28</v>
      </c>
      <c r="G4" s="7"/>
      <c r="H4" s="23" t="s">
        <v>30</v>
      </c>
      <c r="I4" s="34" t="s">
        <v>31</v>
      </c>
      <c r="J4" s="21"/>
      <c r="K4" s="23" t="s">
        <v>30</v>
      </c>
      <c r="L4" s="50" t="s">
        <v>33</v>
      </c>
      <c r="M4" s="21"/>
      <c r="N4" s="23" t="s">
        <v>30</v>
      </c>
    </row>
    <row r="5" spans="1:14" ht="15">
      <c r="A5" s="177"/>
      <c r="B5" s="177"/>
      <c r="C5" s="18">
        <v>2010</v>
      </c>
      <c r="D5" s="19">
        <v>2011</v>
      </c>
      <c r="E5" s="19" t="s">
        <v>95</v>
      </c>
      <c r="F5" s="18">
        <v>2010</v>
      </c>
      <c r="G5" s="19">
        <v>2011</v>
      </c>
      <c r="H5" s="44" t="s">
        <v>29</v>
      </c>
      <c r="I5" s="30" t="s">
        <v>32</v>
      </c>
      <c r="J5" s="28"/>
      <c r="K5" s="44" t="s">
        <v>29</v>
      </c>
      <c r="L5" s="52" t="s">
        <v>34</v>
      </c>
      <c r="M5" s="28"/>
      <c r="N5" s="44" t="s">
        <v>29</v>
      </c>
    </row>
    <row r="6" spans="1:14" ht="15">
      <c r="A6" s="177"/>
      <c r="B6" s="177"/>
      <c r="C6" s="40"/>
      <c r="D6" s="11"/>
      <c r="E6" s="11" t="s">
        <v>96</v>
      </c>
      <c r="F6" s="29"/>
      <c r="G6" s="28"/>
      <c r="H6" s="29" t="s">
        <v>99</v>
      </c>
      <c r="I6" s="18">
        <v>2010</v>
      </c>
      <c r="J6" s="19">
        <v>2011</v>
      </c>
      <c r="K6" s="29" t="s">
        <v>99</v>
      </c>
      <c r="L6" s="18">
        <v>2010</v>
      </c>
      <c r="M6" s="19">
        <v>2011</v>
      </c>
      <c r="N6" s="29" t="s">
        <v>99</v>
      </c>
    </row>
    <row r="7" spans="1:14" ht="16.5" customHeight="1">
      <c r="A7" s="31">
        <v>1</v>
      </c>
      <c r="B7" s="31" t="s">
        <v>61</v>
      </c>
      <c r="C7" s="76">
        <v>10</v>
      </c>
      <c r="D7" s="36">
        <v>30</v>
      </c>
      <c r="E7" s="36">
        <f aca="true" t="shared" si="0" ref="E7:E17">D7*100/C7</f>
        <v>300</v>
      </c>
      <c r="F7" s="76">
        <v>10</v>
      </c>
      <c r="G7" s="36">
        <v>30</v>
      </c>
      <c r="H7" s="36">
        <f aca="true" t="shared" si="1" ref="H7:H17">G7-F7</f>
        <v>20</v>
      </c>
      <c r="I7" s="36">
        <f>F7*100/180</f>
        <v>5.555555555555555</v>
      </c>
      <c r="J7" s="36">
        <f>G7*100/180</f>
        <v>16.666666666666668</v>
      </c>
      <c r="K7" s="36">
        <f aca="true" t="shared" si="2" ref="K7:K17">J7-I7</f>
        <v>11.111111111111112</v>
      </c>
      <c r="L7" s="36">
        <f>(C7-F7)*100/180</f>
        <v>0</v>
      </c>
      <c r="M7" s="36">
        <f>(D7-G7)*100/180</f>
        <v>0</v>
      </c>
      <c r="N7" s="36">
        <f>M7-L7</f>
        <v>0</v>
      </c>
    </row>
    <row r="8" spans="1:14" ht="16.5" customHeight="1">
      <c r="A8" s="31">
        <v>2</v>
      </c>
      <c r="B8" s="31" t="s">
        <v>62</v>
      </c>
      <c r="C8" s="76">
        <v>6</v>
      </c>
      <c r="D8" s="36"/>
      <c r="E8" s="36">
        <f t="shared" si="0"/>
        <v>0</v>
      </c>
      <c r="F8" s="76">
        <v>6</v>
      </c>
      <c r="G8" s="36"/>
      <c r="H8" s="36">
        <f t="shared" si="1"/>
        <v>-6</v>
      </c>
      <c r="I8" s="36">
        <f>F8*100/105</f>
        <v>5.714285714285714</v>
      </c>
      <c r="J8" s="36">
        <f>G8*100/105</f>
        <v>0</v>
      </c>
      <c r="K8" s="36">
        <f>J8-I8</f>
        <v>-5.714285714285714</v>
      </c>
      <c r="L8" s="36">
        <f>(C8-F8)*100/105</f>
        <v>0</v>
      </c>
      <c r="M8" s="36">
        <f>(D8-G8)*100/105</f>
        <v>0</v>
      </c>
      <c r="N8" s="36">
        <f>M8-L8</f>
        <v>0</v>
      </c>
    </row>
    <row r="9" spans="1:14" ht="16.5" customHeight="1">
      <c r="A9" s="31">
        <v>3</v>
      </c>
      <c r="B9" s="31" t="s">
        <v>63</v>
      </c>
      <c r="C9" s="76">
        <v>9</v>
      </c>
      <c r="D9" s="36">
        <v>15</v>
      </c>
      <c r="E9" s="36">
        <f t="shared" si="0"/>
        <v>166.66666666666666</v>
      </c>
      <c r="F9" s="76">
        <v>9</v>
      </c>
      <c r="G9" s="36">
        <v>15</v>
      </c>
      <c r="H9" s="36">
        <f t="shared" si="1"/>
        <v>6</v>
      </c>
      <c r="I9" s="36">
        <f>F9*100/54</f>
        <v>16.666666666666668</v>
      </c>
      <c r="J9" s="36">
        <f>G9*100/60</f>
        <v>25</v>
      </c>
      <c r="K9" s="36">
        <f>J9-I9</f>
        <v>8.333333333333332</v>
      </c>
      <c r="L9" s="36">
        <f>(C9-F9)*100/54</f>
        <v>0</v>
      </c>
      <c r="M9" s="36">
        <f>(D9-G9)*100/60</f>
        <v>0</v>
      </c>
      <c r="N9" s="36">
        <f>M9-L9</f>
        <v>0</v>
      </c>
    </row>
    <row r="10" spans="1:14" ht="16.5" customHeight="1">
      <c r="A10" s="31">
        <v>4</v>
      </c>
      <c r="B10" s="22" t="s">
        <v>64</v>
      </c>
      <c r="C10" s="76">
        <v>8</v>
      </c>
      <c r="D10" s="36"/>
      <c r="E10" s="36">
        <f t="shared" si="0"/>
        <v>0</v>
      </c>
      <c r="F10" s="76">
        <v>8</v>
      </c>
      <c r="G10" s="36"/>
      <c r="H10" s="36">
        <f t="shared" si="1"/>
        <v>-8</v>
      </c>
      <c r="I10" s="36">
        <f>F10*100/304</f>
        <v>2.6315789473684212</v>
      </c>
      <c r="J10" s="36">
        <f>G10*100/308</f>
        <v>0</v>
      </c>
      <c r="K10" s="36">
        <f t="shared" si="2"/>
        <v>-2.6315789473684212</v>
      </c>
      <c r="L10" s="36">
        <f>(C10-F10)*100/304</f>
        <v>0</v>
      </c>
      <c r="M10" s="36">
        <f>(D10-G10)*100/308</f>
        <v>0</v>
      </c>
      <c r="N10" s="36">
        <f aca="true" t="shared" si="3" ref="N10:N17">M10-L10</f>
        <v>0</v>
      </c>
    </row>
    <row r="11" spans="1:14" ht="16.5" customHeight="1">
      <c r="A11" s="31">
        <v>5</v>
      </c>
      <c r="B11" s="31" t="s">
        <v>65</v>
      </c>
      <c r="C11" s="76">
        <v>29</v>
      </c>
      <c r="D11" s="36">
        <v>21</v>
      </c>
      <c r="E11" s="36">
        <f t="shared" si="0"/>
        <v>72.41379310344827</v>
      </c>
      <c r="F11" s="76">
        <v>23</v>
      </c>
      <c r="G11" s="36">
        <v>21</v>
      </c>
      <c r="H11" s="36">
        <f t="shared" si="1"/>
        <v>-2</v>
      </c>
      <c r="I11" s="36">
        <f>F11*100/250</f>
        <v>9.2</v>
      </c>
      <c r="J11" s="36">
        <f>G11*100/280</f>
        <v>7.5</v>
      </c>
      <c r="K11" s="36">
        <f t="shared" si="2"/>
        <v>-1.6999999999999993</v>
      </c>
      <c r="L11" s="36">
        <f>(C11-F11)*100/250</f>
        <v>2.4</v>
      </c>
      <c r="M11" s="36">
        <f>(D11-G11)*100/280</f>
        <v>0</v>
      </c>
      <c r="N11" s="36">
        <f t="shared" si="3"/>
        <v>-2.4</v>
      </c>
    </row>
    <row r="12" spans="1:14" ht="16.5" customHeight="1">
      <c r="A12" s="31">
        <v>6</v>
      </c>
      <c r="B12" s="32" t="s">
        <v>81</v>
      </c>
      <c r="C12" s="77">
        <v>16</v>
      </c>
      <c r="D12" s="88">
        <v>14</v>
      </c>
      <c r="E12" s="36">
        <f t="shared" si="0"/>
        <v>87.5</v>
      </c>
      <c r="F12" s="77">
        <v>16</v>
      </c>
      <c r="G12" s="88">
        <v>14</v>
      </c>
      <c r="H12" s="36">
        <f t="shared" si="1"/>
        <v>-2</v>
      </c>
      <c r="I12" s="88">
        <f>F12*100/85</f>
        <v>18.823529411764707</v>
      </c>
      <c r="J12" s="88">
        <f>G12*100/85</f>
        <v>16.470588235294116</v>
      </c>
      <c r="K12" s="36">
        <f t="shared" si="2"/>
        <v>-2.3529411764705905</v>
      </c>
      <c r="L12" s="36">
        <f>(C12-F12)*100/85</f>
        <v>0</v>
      </c>
      <c r="M12" s="36">
        <f>(D12-G12)*100/85</f>
        <v>0</v>
      </c>
      <c r="N12" s="88">
        <f t="shared" si="3"/>
        <v>0</v>
      </c>
    </row>
    <row r="13" spans="1:14" ht="16.5" customHeight="1">
      <c r="A13" s="31">
        <v>7</v>
      </c>
      <c r="B13" s="32" t="s">
        <v>66</v>
      </c>
      <c r="C13" s="77">
        <v>3</v>
      </c>
      <c r="D13" s="88">
        <v>12</v>
      </c>
      <c r="E13" s="36">
        <f t="shared" si="0"/>
        <v>400</v>
      </c>
      <c r="F13" s="77">
        <v>3</v>
      </c>
      <c r="G13" s="88">
        <v>12</v>
      </c>
      <c r="H13" s="36">
        <f t="shared" si="1"/>
        <v>9</v>
      </c>
      <c r="I13" s="88">
        <f>F13*100/52</f>
        <v>5.769230769230769</v>
      </c>
      <c r="J13" s="88">
        <f>G13*100/60</f>
        <v>20</v>
      </c>
      <c r="K13" s="36">
        <f t="shared" si="2"/>
        <v>14.23076923076923</v>
      </c>
      <c r="L13" s="36">
        <f>(C13-F13)*100/52</f>
        <v>0</v>
      </c>
      <c r="M13" s="36">
        <f>(D13-G13)*100/60</f>
        <v>0</v>
      </c>
      <c r="N13" s="88">
        <f t="shared" si="3"/>
        <v>0</v>
      </c>
    </row>
    <row r="14" spans="1:14" ht="16.5" customHeight="1">
      <c r="A14" s="31">
        <v>8</v>
      </c>
      <c r="B14" s="32" t="s">
        <v>80</v>
      </c>
      <c r="C14" s="77">
        <v>20</v>
      </c>
      <c r="D14" s="88">
        <v>21</v>
      </c>
      <c r="E14" s="36">
        <f t="shared" si="0"/>
        <v>105</v>
      </c>
      <c r="F14" s="77">
        <v>20</v>
      </c>
      <c r="G14" s="88">
        <v>21</v>
      </c>
      <c r="H14" s="36">
        <f t="shared" si="1"/>
        <v>1</v>
      </c>
      <c r="I14" s="88">
        <f>F14*100/60</f>
        <v>33.333333333333336</v>
      </c>
      <c r="J14" s="88">
        <f>G14*100/78</f>
        <v>26.923076923076923</v>
      </c>
      <c r="K14" s="36">
        <f t="shared" si="2"/>
        <v>-6.410256410256412</v>
      </c>
      <c r="L14" s="36">
        <f>(C14-F14)*100/60</f>
        <v>0</v>
      </c>
      <c r="M14" s="36">
        <f>(D14-G14)*100/78</f>
        <v>0</v>
      </c>
      <c r="N14" s="88">
        <f t="shared" si="3"/>
        <v>0</v>
      </c>
    </row>
    <row r="15" spans="1:14" ht="16.5" customHeight="1">
      <c r="A15" s="31">
        <v>9</v>
      </c>
      <c r="B15" s="32" t="s">
        <v>67</v>
      </c>
      <c r="C15" s="77">
        <v>3</v>
      </c>
      <c r="D15" s="88">
        <v>6</v>
      </c>
      <c r="E15" s="36">
        <f t="shared" si="0"/>
        <v>200</v>
      </c>
      <c r="F15" s="77">
        <v>3</v>
      </c>
      <c r="G15" s="88">
        <v>6</v>
      </c>
      <c r="H15" s="36">
        <f t="shared" si="1"/>
        <v>3</v>
      </c>
      <c r="I15" s="88">
        <f>F15*100/100</f>
        <v>3</v>
      </c>
      <c r="J15" s="88">
        <f>G15*100/100</f>
        <v>6</v>
      </c>
      <c r="K15" s="36">
        <f t="shared" si="2"/>
        <v>3</v>
      </c>
      <c r="L15" s="36">
        <f>(C15-F15)*100/100</f>
        <v>0</v>
      </c>
      <c r="M15" s="36">
        <f>(D15-G15)*100/100</f>
        <v>0</v>
      </c>
      <c r="N15" s="88">
        <f t="shared" si="3"/>
        <v>0</v>
      </c>
    </row>
    <row r="16" spans="1:14" ht="16.5" customHeight="1">
      <c r="A16" s="31">
        <v>10</v>
      </c>
      <c r="B16" s="32" t="s">
        <v>68</v>
      </c>
      <c r="C16" s="77">
        <v>16</v>
      </c>
      <c r="D16" s="88">
        <v>12</v>
      </c>
      <c r="E16" s="36">
        <f t="shared" si="0"/>
        <v>75</v>
      </c>
      <c r="F16" s="77">
        <v>16</v>
      </c>
      <c r="G16" s="88">
        <v>12</v>
      </c>
      <c r="H16" s="36">
        <f t="shared" si="1"/>
        <v>-4</v>
      </c>
      <c r="I16" s="88">
        <f>F16*100/42</f>
        <v>38.095238095238095</v>
      </c>
      <c r="J16" s="88">
        <f>G16*100/42</f>
        <v>28.571428571428573</v>
      </c>
      <c r="K16" s="36">
        <f t="shared" si="2"/>
        <v>-9.523809523809522</v>
      </c>
      <c r="L16" s="36">
        <f>(C16-F16)*100/42</f>
        <v>0</v>
      </c>
      <c r="M16" s="36">
        <f>(D16-G16)*100/42</f>
        <v>0</v>
      </c>
      <c r="N16" s="88">
        <f t="shared" si="3"/>
        <v>0</v>
      </c>
    </row>
    <row r="17" spans="1:14" ht="16.5" customHeight="1">
      <c r="A17" s="173" t="s">
        <v>79</v>
      </c>
      <c r="B17" s="176"/>
      <c r="C17" s="36">
        <f>SUM(C7:C16)</f>
        <v>120</v>
      </c>
      <c r="D17" s="3">
        <f>SUM(D7:D16)</f>
        <v>131</v>
      </c>
      <c r="E17" s="36">
        <f t="shared" si="0"/>
        <v>109.16666666666667</v>
      </c>
      <c r="F17" s="3">
        <f>SUM(F7:F16)</f>
        <v>114</v>
      </c>
      <c r="G17" s="3">
        <f>SUM(G7:G16)</f>
        <v>131</v>
      </c>
      <c r="H17" s="36">
        <f t="shared" si="1"/>
        <v>17</v>
      </c>
      <c r="I17" s="36">
        <f>F17*100/1232</f>
        <v>9.253246753246753</v>
      </c>
      <c r="J17" s="36">
        <f>G17*100/1298</f>
        <v>10.092449922958398</v>
      </c>
      <c r="K17" s="36">
        <f t="shared" si="2"/>
        <v>0.8392031697116451</v>
      </c>
      <c r="L17" s="36">
        <f>(C17-F17)*100/1232</f>
        <v>0.487012987012987</v>
      </c>
      <c r="M17" s="36">
        <f>(D17-G17)*100/1298</f>
        <v>0</v>
      </c>
      <c r="N17" s="36">
        <f t="shared" si="3"/>
        <v>-0.487012987012987</v>
      </c>
    </row>
  </sheetData>
  <mergeCells count="5">
    <mergeCell ref="A2:N2"/>
    <mergeCell ref="A1:N1"/>
    <mergeCell ref="A17:B17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70" zoomScaleNormal="75" zoomScaleSheetLayoutView="70" workbookViewId="0" topLeftCell="A1">
      <selection activeCell="F15" sqref="F15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60" t="s">
        <v>12</v>
      </c>
      <c r="B1" s="160"/>
      <c r="C1" s="160"/>
      <c r="D1" s="160"/>
      <c r="E1" s="160"/>
      <c r="F1" s="160"/>
      <c r="G1" s="78"/>
      <c r="H1" s="78"/>
      <c r="I1" s="78"/>
    </row>
    <row r="2" spans="1:9" ht="15.75">
      <c r="A2" s="178" t="s">
        <v>97</v>
      </c>
      <c r="B2" s="178"/>
      <c r="C2" s="178"/>
      <c r="D2" s="178"/>
      <c r="E2" s="178"/>
      <c r="F2" s="178"/>
      <c r="G2" s="78"/>
      <c r="H2" s="78"/>
      <c r="I2" s="78"/>
    </row>
    <row r="3" spans="1:9" ht="15">
      <c r="A3" s="4" t="s">
        <v>2</v>
      </c>
      <c r="B3" s="4" t="s">
        <v>3</v>
      </c>
      <c r="C3" s="5" t="s">
        <v>45</v>
      </c>
      <c r="D3" s="6"/>
      <c r="E3" s="5" t="s">
        <v>46</v>
      </c>
      <c r="F3" s="7"/>
      <c r="G3" s="78"/>
      <c r="H3" s="78"/>
      <c r="I3" s="78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8"/>
      <c r="H4" s="78"/>
      <c r="I4" s="78"/>
    </row>
    <row r="5" spans="1:9" ht="15">
      <c r="A5" s="3">
        <v>1</v>
      </c>
      <c r="B5" s="22" t="s">
        <v>61</v>
      </c>
      <c r="C5" s="36">
        <f>(молоко!C6*1000)/1875</f>
        <v>14.826666666666666</v>
      </c>
      <c r="D5" s="36">
        <f>(молоко!D6*1000)/1875</f>
        <v>17.92</v>
      </c>
      <c r="E5" s="36">
        <f>(мясо!C7*1000)/1875</f>
        <v>1.12</v>
      </c>
      <c r="F5" s="36">
        <f>(мясо!D7*1000)/1875</f>
        <v>3.2</v>
      </c>
      <c r="H5" s="78"/>
      <c r="I5" s="78"/>
    </row>
    <row r="6" spans="1:9" ht="15">
      <c r="A6" s="3">
        <v>2</v>
      </c>
      <c r="B6" s="22" t="s">
        <v>62</v>
      </c>
      <c r="C6" s="36">
        <f>(молоко!C7*1000)/799</f>
        <v>24.780976220275345</v>
      </c>
      <c r="D6" s="36">
        <f>(молоко!D7*1000)/799</f>
        <v>17.146433041301627</v>
      </c>
      <c r="E6" s="36">
        <f>(мясо!C8*1000)/799</f>
        <v>0.7509386733416771</v>
      </c>
      <c r="F6" s="36">
        <f>(мясо!D8*1000)/799</f>
        <v>3.0037546933667083</v>
      </c>
      <c r="H6" s="78"/>
      <c r="I6" s="78"/>
    </row>
    <row r="7" spans="1:9" ht="15">
      <c r="A7" s="3">
        <v>3</v>
      </c>
      <c r="B7" s="22" t="s">
        <v>63</v>
      </c>
      <c r="C7" s="36">
        <f>(молоко!C8*1000)/2025</f>
        <v>6.666666666666667</v>
      </c>
      <c r="D7" s="36">
        <f>(молоко!D8*1000)/2025</f>
        <v>7.802469135802469</v>
      </c>
      <c r="E7" s="36">
        <f>(мясо!C9*1000)/2025</f>
        <v>0.019753086419753086</v>
      </c>
      <c r="F7" s="36">
        <f>(мясо!D9*1000)/2025</f>
        <v>0.6419753086419753</v>
      </c>
      <c r="H7" s="78"/>
      <c r="I7" s="78"/>
    </row>
    <row r="8" spans="1:9" ht="15">
      <c r="A8" s="3">
        <v>4</v>
      </c>
      <c r="B8" s="38" t="s">
        <v>64</v>
      </c>
      <c r="C8" s="36">
        <f>(молоко!C9*1000)/2478</f>
        <v>29.096045197740114</v>
      </c>
      <c r="D8" s="36">
        <f>(молоко!D9*1000)/2478</f>
        <v>19.330104923325262</v>
      </c>
      <c r="E8" s="36">
        <f>(мясо!C10*1000)/2478</f>
        <v>3.026634382566586</v>
      </c>
      <c r="F8" s="36">
        <f>(мясо!D10*1000)/2478</f>
        <v>5.5690072639225185</v>
      </c>
      <c r="H8" s="78"/>
      <c r="I8" s="78"/>
    </row>
    <row r="9" spans="1:9" ht="15">
      <c r="A9" s="3">
        <v>5</v>
      </c>
      <c r="B9" s="22" t="s">
        <v>65</v>
      </c>
      <c r="C9" s="36">
        <f>(молоко!C10*1000)/2157</f>
        <v>26.88919796012981</v>
      </c>
      <c r="D9" s="36">
        <f>(молоко!D10*1000)/2157</f>
        <v>21.789522484932778</v>
      </c>
      <c r="E9" s="36">
        <f>(мясо!C11*1000)/2157</f>
        <v>1.8080667593880388</v>
      </c>
      <c r="F9" s="36">
        <f>(мясо!D11*1000)/2157</f>
        <v>2.5961984237366713</v>
      </c>
      <c r="H9" s="78"/>
      <c r="I9" s="78"/>
    </row>
    <row r="10" spans="1:9" ht="15">
      <c r="A10" s="3">
        <v>6</v>
      </c>
      <c r="B10" s="38" t="s">
        <v>81</v>
      </c>
      <c r="C10" s="36">
        <f>(молоко!C11*1000)/859</f>
        <v>39.231664726426075</v>
      </c>
      <c r="D10" s="36">
        <f>(молоко!D11*1000)/859</f>
        <v>35.739231664726425</v>
      </c>
      <c r="E10" s="36">
        <f>(мясо!C12*1000)/859</f>
        <v>2.910360884749709</v>
      </c>
      <c r="F10" s="36">
        <f>(мясо!D12*1000)/859</f>
        <v>1.7462165308498254</v>
      </c>
      <c r="H10" s="78"/>
      <c r="I10" s="78"/>
    </row>
    <row r="11" spans="1:9" ht="15">
      <c r="A11" s="3">
        <v>7</v>
      </c>
      <c r="B11" s="38" t="s">
        <v>66</v>
      </c>
      <c r="C11" s="36">
        <f>(молоко!C12*1000)/1482</f>
        <v>8.569500674763832</v>
      </c>
      <c r="D11" s="36">
        <f>(молоко!D12*1000)/1482</f>
        <v>10.728744939271255</v>
      </c>
      <c r="E11" s="36">
        <f>(мясо!C13*1000)/1482</f>
        <v>0</v>
      </c>
      <c r="F11" s="36">
        <f>(мясо!D13*1000)/1482</f>
        <v>0</v>
      </c>
      <c r="H11" s="78"/>
      <c r="I11" s="78"/>
    </row>
    <row r="12" spans="1:9" ht="15.75" customHeight="1">
      <c r="A12" s="3">
        <v>8</v>
      </c>
      <c r="B12" s="32" t="s">
        <v>80</v>
      </c>
      <c r="C12" s="36">
        <f>(молоко!C13*1000)/1077</f>
        <v>23.584029712163417</v>
      </c>
      <c r="D12" s="36">
        <f>(молоко!D13*1000)/1077</f>
        <v>33.42618384401114</v>
      </c>
      <c r="E12" s="36">
        <f>(мясо!C14*1000)/1077</f>
        <v>0.6499535747446611</v>
      </c>
      <c r="F12" s="36">
        <f>(мясо!D14*1000)/1077</f>
        <v>1.6713091922005572</v>
      </c>
      <c r="H12" s="78"/>
      <c r="I12" s="78"/>
    </row>
    <row r="13" spans="1:9" ht="15">
      <c r="A13" s="3">
        <v>9</v>
      </c>
      <c r="B13" s="38" t="s">
        <v>67</v>
      </c>
      <c r="C13" s="36">
        <f>(молоко!C14*1000)/1084</f>
        <v>9.59409594095941</v>
      </c>
      <c r="D13" s="36">
        <f>(молоко!D14*1000)/1084</f>
        <v>15.682656826568266</v>
      </c>
      <c r="E13" s="36">
        <f>(мясо!C15*1000)/1084</f>
        <v>1.845018450184502</v>
      </c>
      <c r="F13" s="36">
        <f>(мясо!D15*1000)/1084</f>
        <v>0.2767527675276753</v>
      </c>
      <c r="H13" s="78"/>
      <c r="I13" s="78"/>
    </row>
    <row r="14" spans="1:9" ht="15">
      <c r="A14" s="3">
        <v>10</v>
      </c>
      <c r="B14" s="38" t="s">
        <v>68</v>
      </c>
      <c r="C14" s="36">
        <f>(молоко!C15*1000)/674</f>
        <v>19.13946587537092</v>
      </c>
      <c r="D14" s="36">
        <f>(молоко!D15*1000)/674</f>
        <v>16.468842729970326</v>
      </c>
      <c r="E14" s="36">
        <f>(мясо!C16*1000)/674</f>
        <v>0.7418397626112759</v>
      </c>
      <c r="F14" s="36">
        <f>(мясо!D16*1000)/674</f>
        <v>2.6706231454005933</v>
      </c>
      <c r="H14" s="78"/>
      <c r="I14" s="78"/>
    </row>
    <row r="15" spans="1:9" ht="15">
      <c r="A15" s="3">
        <v>11</v>
      </c>
      <c r="B15" s="38" t="s">
        <v>69</v>
      </c>
      <c r="C15" s="36"/>
      <c r="D15" s="36"/>
      <c r="E15" s="36">
        <f>(мясо!C17*1000)/983</f>
        <v>60.02034587995931</v>
      </c>
      <c r="F15" s="36">
        <f>(мясо!D17*1000)/983</f>
        <v>62.054933875890136</v>
      </c>
      <c r="H15" s="78"/>
      <c r="I15" s="78"/>
    </row>
    <row r="16" spans="1:6" ht="15">
      <c r="A16" s="173" t="s">
        <v>11</v>
      </c>
      <c r="B16" s="174"/>
      <c r="C16" s="36">
        <f>(молоко!C16*1000)/22877</f>
        <v>12.514752808497613</v>
      </c>
      <c r="D16" s="36">
        <f>(молоко!D16*1000)/22877</f>
        <v>11.745421165362593</v>
      </c>
      <c r="E16" s="36">
        <f>(мясо!C19*1000)/22877</f>
        <v>3.4462560650434932</v>
      </c>
      <c r="F16" s="36">
        <f>(мясо!D19*1000)/22877</f>
        <v>4.218210429689208</v>
      </c>
    </row>
  </sheetData>
  <mergeCells count="3">
    <mergeCell ref="A1:F1"/>
    <mergeCell ref="A2:F2"/>
    <mergeCell ref="A16:B16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Normal="75" zoomScaleSheetLayoutView="70" workbookViewId="0" topLeftCell="A1">
      <selection activeCell="F32" sqref="F32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94</v>
      </c>
      <c r="D1" s="43"/>
      <c r="E1" s="43"/>
      <c r="F1" s="14"/>
      <c r="G1" s="14"/>
      <c r="H1" s="14"/>
      <c r="I1" s="14"/>
      <c r="J1" s="14"/>
      <c r="K1" s="14"/>
    </row>
    <row r="2" spans="1:11" ht="18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>
      <c r="A3" s="125" t="s">
        <v>2</v>
      </c>
      <c r="B3" s="179" t="s">
        <v>3</v>
      </c>
      <c r="C3" s="54" t="s">
        <v>13</v>
      </c>
      <c r="D3" s="55"/>
      <c r="E3" s="56"/>
      <c r="F3" s="57" t="s">
        <v>14</v>
      </c>
      <c r="G3" s="58" t="s">
        <v>17</v>
      </c>
      <c r="H3" s="59" t="s">
        <v>19</v>
      </c>
      <c r="I3" s="60"/>
      <c r="J3" s="53"/>
      <c r="K3" s="53" t="s">
        <v>20</v>
      </c>
    </row>
    <row r="4" spans="1:11" ht="18">
      <c r="A4" s="153"/>
      <c r="B4" s="153"/>
      <c r="C4" s="61">
        <v>2010</v>
      </c>
      <c r="D4" s="57">
        <v>2011</v>
      </c>
      <c r="E4" s="57" t="s">
        <v>95</v>
      </c>
      <c r="F4" s="62" t="s">
        <v>15</v>
      </c>
      <c r="G4" s="63" t="s">
        <v>18</v>
      </c>
      <c r="H4" s="61">
        <v>2010</v>
      </c>
      <c r="I4" s="57">
        <v>2011</v>
      </c>
      <c r="J4" s="57" t="s">
        <v>95</v>
      </c>
      <c r="K4" s="64" t="s">
        <v>21</v>
      </c>
    </row>
    <row r="5" spans="1:11" ht="18">
      <c r="A5" s="126"/>
      <c r="B5" s="126"/>
      <c r="C5" s="65"/>
      <c r="D5" s="66"/>
      <c r="E5" s="66" t="s">
        <v>96</v>
      </c>
      <c r="F5" s="66" t="s">
        <v>16</v>
      </c>
      <c r="G5" s="67"/>
      <c r="H5" s="65"/>
      <c r="I5" s="66"/>
      <c r="J5" s="66" t="s">
        <v>96</v>
      </c>
      <c r="K5" s="68" t="s">
        <v>0</v>
      </c>
    </row>
    <row r="6" spans="1:11" ht="16.5" customHeight="1">
      <c r="A6" s="31">
        <v>1</v>
      </c>
      <c r="B6" s="69" t="s">
        <v>61</v>
      </c>
      <c r="C6" s="12">
        <v>27.8</v>
      </c>
      <c r="D6" s="12">
        <v>33.6</v>
      </c>
      <c r="E6" s="13">
        <f aca="true" t="shared" si="0" ref="E6:E15">D6/C6*100</f>
        <v>120.86330935251799</v>
      </c>
      <c r="F6" s="12">
        <v>24.8</v>
      </c>
      <c r="G6" s="13">
        <f aca="true" t="shared" si="1" ref="G6:G15">F6/D6*100</f>
        <v>73.80952380952381</v>
      </c>
      <c r="H6" s="17">
        <f>C6/'численность 1'!J6*1000</f>
        <v>154.44444444444443</v>
      </c>
      <c r="I6" s="17">
        <f>D6/'численность 1'!K6*1000</f>
        <v>186.66666666666669</v>
      </c>
      <c r="J6" s="13">
        <f aca="true" t="shared" si="2" ref="J6:J16">I6/H6*100</f>
        <v>120.86330935251802</v>
      </c>
      <c r="K6" s="12">
        <v>37.4</v>
      </c>
    </row>
    <row r="7" spans="1:11" ht="16.5" customHeight="1">
      <c r="A7" s="31">
        <v>2</v>
      </c>
      <c r="B7" s="69" t="s">
        <v>62</v>
      </c>
      <c r="C7" s="12">
        <v>19.8</v>
      </c>
      <c r="D7" s="12">
        <v>13.7</v>
      </c>
      <c r="E7" s="13">
        <f t="shared" si="0"/>
        <v>69.19191919191918</v>
      </c>
      <c r="F7" s="12">
        <v>11.8</v>
      </c>
      <c r="G7" s="13">
        <f t="shared" si="1"/>
        <v>86.13138686131387</v>
      </c>
      <c r="H7" s="17">
        <f>C7/'численность 1'!J7*1000</f>
        <v>188.57142857142858</v>
      </c>
      <c r="I7" s="13">
        <f>D7/'численность 1'!K7*1000</f>
        <v>130.47619047619048</v>
      </c>
      <c r="J7" s="13">
        <f t="shared" si="2"/>
        <v>69.1919191919192</v>
      </c>
      <c r="K7" s="12"/>
    </row>
    <row r="8" spans="1:11" ht="16.5" customHeight="1">
      <c r="A8" s="31">
        <v>3</v>
      </c>
      <c r="B8" s="69" t="s">
        <v>63</v>
      </c>
      <c r="C8" s="12">
        <v>13.5</v>
      </c>
      <c r="D8" s="12">
        <v>15.8</v>
      </c>
      <c r="E8" s="13">
        <f t="shared" si="0"/>
        <v>117.03703703703705</v>
      </c>
      <c r="F8" s="12">
        <v>8</v>
      </c>
      <c r="G8" s="13">
        <f t="shared" si="1"/>
        <v>50.632911392405056</v>
      </c>
      <c r="H8" s="17">
        <f>C8/'численность 1'!J8*1000</f>
        <v>250</v>
      </c>
      <c r="I8" s="13">
        <f>D8/'численность 1'!K8*1000</f>
        <v>263.33333333333337</v>
      </c>
      <c r="J8" s="13">
        <f t="shared" si="2"/>
        <v>105.33333333333334</v>
      </c>
      <c r="K8" s="12"/>
    </row>
    <row r="9" spans="1:11" ht="16.5" customHeight="1">
      <c r="A9" s="31">
        <v>4</v>
      </c>
      <c r="B9" s="69" t="s">
        <v>64</v>
      </c>
      <c r="C9" s="12">
        <v>72.1</v>
      </c>
      <c r="D9" s="12">
        <v>47.9</v>
      </c>
      <c r="E9" s="13">
        <f t="shared" si="0"/>
        <v>66.43550624133148</v>
      </c>
      <c r="F9" s="12">
        <v>42.1</v>
      </c>
      <c r="G9" s="13">
        <f t="shared" si="1"/>
        <v>87.89144050104385</v>
      </c>
      <c r="H9" s="17">
        <f>C9/'численность 1'!J9*1000</f>
        <v>237.17105263157893</v>
      </c>
      <c r="I9" s="13">
        <f>D9/'численность 1'!K9*1000</f>
        <v>155.5194805194805</v>
      </c>
      <c r="J9" s="13">
        <f t="shared" si="2"/>
        <v>65.57270745897654</v>
      </c>
      <c r="K9" s="12"/>
    </row>
    <row r="10" spans="1:11" ht="16.5" customHeight="1">
      <c r="A10" s="31">
        <v>5</v>
      </c>
      <c r="B10" s="70" t="s">
        <v>65</v>
      </c>
      <c r="C10" s="12">
        <v>58</v>
      </c>
      <c r="D10" s="12">
        <v>47</v>
      </c>
      <c r="E10" s="13">
        <f t="shared" si="0"/>
        <v>81.03448275862068</v>
      </c>
      <c r="F10" s="12">
        <v>37</v>
      </c>
      <c r="G10" s="13">
        <f t="shared" si="1"/>
        <v>78.72340425531915</v>
      </c>
      <c r="H10" s="17">
        <f>C10/'численность 1'!J10*1000</f>
        <v>232</v>
      </c>
      <c r="I10" s="13">
        <f>D10/'численность 1'!K10*1000</f>
        <v>167.85714285714283</v>
      </c>
      <c r="J10" s="13">
        <f t="shared" si="2"/>
        <v>72.35221674876846</v>
      </c>
      <c r="K10" s="12"/>
    </row>
    <row r="11" spans="1:11" ht="16.5" customHeight="1">
      <c r="A11" s="31">
        <v>6</v>
      </c>
      <c r="B11" s="70" t="s">
        <v>81</v>
      </c>
      <c r="C11" s="16">
        <v>33.7</v>
      </c>
      <c r="D11" s="16">
        <v>30.7</v>
      </c>
      <c r="E11" s="13">
        <f t="shared" si="0"/>
        <v>91.09792284866468</v>
      </c>
      <c r="F11" s="16">
        <v>21.9</v>
      </c>
      <c r="G11" s="17">
        <f t="shared" si="1"/>
        <v>71.33550488599349</v>
      </c>
      <c r="H11" s="17">
        <f>C11/'численность 1'!J11*1000</f>
        <v>396.47058823529414</v>
      </c>
      <c r="I11" s="13">
        <f>D11/'численность 1'!K11*1000</f>
        <v>361.17647058823525</v>
      </c>
      <c r="J11" s="13">
        <f t="shared" si="2"/>
        <v>91.09792284866467</v>
      </c>
      <c r="K11" s="16">
        <v>2.5</v>
      </c>
    </row>
    <row r="12" spans="1:11" ht="16.5" customHeight="1">
      <c r="A12" s="31">
        <v>7</v>
      </c>
      <c r="B12" s="70" t="s">
        <v>66</v>
      </c>
      <c r="C12" s="16">
        <v>12.7</v>
      </c>
      <c r="D12" s="16">
        <v>15.9</v>
      </c>
      <c r="E12" s="13">
        <f t="shared" si="0"/>
        <v>125.19685039370079</v>
      </c>
      <c r="F12" s="16">
        <v>14.8</v>
      </c>
      <c r="G12" s="17">
        <f t="shared" si="1"/>
        <v>93.08176100628931</v>
      </c>
      <c r="H12" s="17">
        <f>C12/'численность 1'!J12*1000</f>
        <v>244.23076923076923</v>
      </c>
      <c r="I12" s="13">
        <f>D12/'численность 1'!K12*1000</f>
        <v>265</v>
      </c>
      <c r="J12" s="13">
        <f t="shared" si="2"/>
        <v>108.50393700787401</v>
      </c>
      <c r="K12" s="16"/>
    </row>
    <row r="13" spans="1:11" ht="16.5" customHeight="1">
      <c r="A13" s="31">
        <v>8</v>
      </c>
      <c r="B13" s="70" t="s">
        <v>80</v>
      </c>
      <c r="C13" s="16">
        <v>25.4</v>
      </c>
      <c r="D13" s="16">
        <v>36</v>
      </c>
      <c r="E13" s="13">
        <f t="shared" si="0"/>
        <v>141.73228346456693</v>
      </c>
      <c r="F13" s="16">
        <v>29.3</v>
      </c>
      <c r="G13" s="17">
        <f t="shared" si="1"/>
        <v>81.38888888888889</v>
      </c>
      <c r="H13" s="17">
        <f>C13/'численность 1'!J13*1000</f>
        <v>423.33333333333326</v>
      </c>
      <c r="I13" s="13">
        <f>D13/'численность 1'!K13*1000</f>
        <v>461.53846153846155</v>
      </c>
      <c r="J13" s="13">
        <f t="shared" si="2"/>
        <v>109.02483343428227</v>
      </c>
      <c r="K13" s="16"/>
    </row>
    <row r="14" spans="1:11" ht="16.5" customHeight="1">
      <c r="A14" s="31">
        <v>9</v>
      </c>
      <c r="B14" s="70" t="s">
        <v>67</v>
      </c>
      <c r="C14" s="16">
        <v>10.4</v>
      </c>
      <c r="D14" s="16">
        <v>17</v>
      </c>
      <c r="E14" s="13">
        <f t="shared" si="0"/>
        <v>163.46153846153845</v>
      </c>
      <c r="F14" s="16">
        <v>11</v>
      </c>
      <c r="G14" s="17">
        <f t="shared" si="1"/>
        <v>64.70588235294117</v>
      </c>
      <c r="H14" s="17">
        <f>C14/'численность 1'!J14*1000</f>
        <v>104.00000000000001</v>
      </c>
      <c r="I14" s="13">
        <f>D14/'численность 1'!K14*1000</f>
        <v>170</v>
      </c>
      <c r="J14" s="13">
        <f t="shared" si="2"/>
        <v>163.46153846153842</v>
      </c>
      <c r="K14" s="16"/>
    </row>
    <row r="15" spans="1:11" ht="16.5" customHeight="1">
      <c r="A15" s="31">
        <v>10</v>
      </c>
      <c r="B15" s="70" t="s">
        <v>68</v>
      </c>
      <c r="C15" s="16">
        <v>12.9</v>
      </c>
      <c r="D15" s="16">
        <v>11.1</v>
      </c>
      <c r="E15" s="13">
        <f t="shared" si="0"/>
        <v>86.04651162790698</v>
      </c>
      <c r="F15" s="16">
        <v>4.6</v>
      </c>
      <c r="G15" s="17">
        <f t="shared" si="1"/>
        <v>41.44144144144144</v>
      </c>
      <c r="H15" s="17">
        <f>C15/'численность 1'!J15*1000</f>
        <v>307.14285714285717</v>
      </c>
      <c r="I15" s="13">
        <f>D15/'численность 1'!K15*1000</f>
        <v>264.2857142857143</v>
      </c>
      <c r="J15" s="13">
        <f t="shared" si="2"/>
        <v>86.04651162790697</v>
      </c>
      <c r="K15" s="16"/>
    </row>
    <row r="16" spans="1:11" ht="18">
      <c r="A16" s="180" t="s">
        <v>11</v>
      </c>
      <c r="B16" s="155"/>
      <c r="C16" s="16">
        <f>SUM(C6:C15)</f>
        <v>286.2999999999999</v>
      </c>
      <c r="D16" s="71">
        <f>SUM(D6:D15)</f>
        <v>268.70000000000005</v>
      </c>
      <c r="E16" s="13">
        <f>D16/C16*100</f>
        <v>93.85260216556065</v>
      </c>
      <c r="F16" s="71">
        <f>SUM(F6:F15)</f>
        <v>205.3</v>
      </c>
      <c r="G16" s="13">
        <f>F16/D16*100</f>
        <v>76.40491254186824</v>
      </c>
      <c r="H16" s="13">
        <f>C16/'численность 1'!J19*1000</f>
        <v>232.38636363636357</v>
      </c>
      <c r="I16" s="13">
        <f>D16/'численность 1'!K19*1000</f>
        <v>207.0107858243452</v>
      </c>
      <c r="J16" s="13">
        <f t="shared" si="2"/>
        <v>89.08043595375248</v>
      </c>
      <c r="K16" s="71">
        <f>SUM(K6:K15)</f>
        <v>39.9</v>
      </c>
    </row>
  </sheetData>
  <mergeCells count="3">
    <mergeCell ref="A3:A5"/>
    <mergeCell ref="B3:B5"/>
    <mergeCell ref="A16:B16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aris</cp:lastModifiedBy>
  <cp:lastPrinted>2011-02-04T06:00:07Z</cp:lastPrinted>
  <dcterms:created xsi:type="dcterms:W3CDTF">2002-11-05T10:10:22Z</dcterms:created>
  <dcterms:modified xsi:type="dcterms:W3CDTF">2011-03-14T10:25:29Z</dcterms:modified>
  <cp:category/>
  <cp:version/>
  <cp:contentType/>
  <cp:contentStatus/>
</cp:coreProperties>
</file>